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fileSharing userName="Cristiano" algorithmName="SHA-512" hashValue="RZhhwOeLhoM6ABsdzHuBqQ8fH7krvJIuPyXIFlosh+Ha3YZpZ4XwgM807HelciGEEJAlGWc4zeGtfma5i0/ahw==" saltValue="yYSt7QS/lQx0U4Dp6oxNsQ==" spinCount="100000"/>
  <workbookPr codeName="ThisWorkbook" defaultThemeVersion="124226"/>
  <mc:AlternateContent xmlns:mc="http://schemas.openxmlformats.org/markup-compatibility/2006">
    <mc:Choice Requires="x15">
      <x15ac:absPath xmlns:x15ac="http://schemas.microsoft.com/office/spreadsheetml/2010/11/ac" url="V:\energhia\CONTATORI FISCALI\CERT ELETTR DOGANE\FILE ENERGHIA MODIFICATI\C2_Sistema di misura in campo\Prove\"/>
    </mc:Choice>
  </mc:AlternateContent>
  <xr:revisionPtr revIDLastSave="0" documentId="13_ncr:10001_{32CE32E2-C6B4-4B79-AAB0-222652736CB2}" xr6:coauthVersionLast="45" xr6:coauthVersionMax="45" xr10:uidLastSave="{00000000-0000-0000-0000-000000000000}"/>
  <bookViews>
    <workbookView xWindow="-120" yWindow="-120" windowWidth="29040" windowHeight="15840" tabRatio="873" activeTab="7" xr2:uid="{00000000-000D-0000-FFFF-FFFF00000000}"/>
  </bookViews>
  <sheets>
    <sheet name="RAPPORTO ISPEZIONE" sheetId="22" r:id="rId1"/>
    <sheet name="FIRME-CONTROLLO DATI" sheetId="24" r:id="rId2"/>
    <sheet name="DATI INGRESSO" sheetId="12" r:id="rId3"/>
    <sheet name="TABELLE" sheetId="23" r:id="rId4"/>
    <sheet name="ELABORAZIONE ERRORI" sheetId="20" r:id="rId5"/>
    <sheet name="CONTROLLO RISULTATI" sheetId="17" r:id="rId6"/>
    <sheet name="MODELLO DOGANE" sheetId="19" r:id="rId7"/>
    <sheet name="EXPORT DATA RVFC" sheetId="25" r:id="rId8"/>
    <sheet name="MODELLO DOGANE-ESITO NEGATIVO" sheetId="21" r:id="rId9"/>
    <sheet name="VALUT. GLOBALE" sheetId="5" r:id="rId10"/>
    <sheet name="INTERP ERRORI MAX CONTAT" sheetId="16" r:id="rId11"/>
    <sheet name="INTERP ERRORI MAX TA" sheetId="15" r:id="rId12"/>
    <sheet name="INTERP ERRORI MAX TV" sheetId="14" r:id="rId13"/>
    <sheet name="dati_TRASF AMPEROMETRICI" sheetId="9" r:id="rId14"/>
    <sheet name="dati_TRASF VOLTMETRICI" sheetId="10" r:id="rId15"/>
    <sheet name="dati_CONNESSIONI VOLTMETRICHE" sheetId="11" r:id="rId16"/>
    <sheet name="ERRORI MAX CONTATORI" sheetId="6" r:id="rId17"/>
    <sheet name="ERRORI MAX TA" sheetId="2" r:id="rId18"/>
    <sheet name="ERRORI MAX TV" sheetId="4" r:id="rId19"/>
    <sheet name="STORICO MODIFICHE" sheetId="18" r:id="rId20"/>
  </sheets>
  <definedNames>
    <definedName name="_xlnm.Print_Area" localSheetId="5">'CONTROLLO RISULTATI'!$A$1:$U$91</definedName>
    <definedName name="_xlnm.Print_Area" localSheetId="2">'DATI INGRESSO'!$A$1:$P$984</definedName>
    <definedName name="_xlnm.Print_Area" localSheetId="16">'ERRORI MAX CONTATORI'!$A$2:$M$23</definedName>
    <definedName name="_xlnm.Print_Area" localSheetId="17">'ERRORI MAX TA'!$A$1:$K$8</definedName>
    <definedName name="_xlnm.Print_Area" localSheetId="18">'ERRORI MAX TV'!$A$1:$K$6</definedName>
    <definedName name="_xlnm.Print_Area" localSheetId="1">'FIRME-CONTROLLO DATI'!$A$1:$L$95</definedName>
    <definedName name="_xlnm.Print_Area" localSheetId="10">'INTERP ERRORI MAX CONTAT'!$A$12:$L$28</definedName>
    <definedName name="_xlnm.Print_Area" localSheetId="11">'INTERP ERRORI MAX TA'!$A$6:$J$14</definedName>
    <definedName name="_xlnm.Print_Area" localSheetId="12">'INTERP ERRORI MAX TV'!$A$6:$J$14</definedName>
    <definedName name="_xlnm.Print_Area" localSheetId="6">'MODELLO DOGANE'!$B$2:$U$130</definedName>
    <definedName name="_xlnm.Print_Area" localSheetId="8">'MODELLO DOGANE-ESITO NEGATIVO'!$B$2:$U$119</definedName>
    <definedName name="_xlnm.Print_Area" localSheetId="0">'RAPPORTO ISPEZIONE'!$B$1:$M$331</definedName>
    <definedName name="_xlnm.Print_Area" localSheetId="9">'VALUT. GLOBALE'!#REF!</definedName>
    <definedName name="CIAO">'DATI INGRESSO'!$I$286</definedName>
    <definedName name="Elenco17" localSheetId="9">'VALUT. GLOBALE'!#REF!</definedName>
    <definedName name="_xlnm.Print_Titles" localSheetId="0">'RAPPORTO ISPEZIONE'!$1:$4</definedName>
  </definedNames>
  <calcPr calcId="191029"/>
</workbook>
</file>

<file path=xl/calcChain.xml><?xml version="1.0" encoding="utf-8"?>
<calcChain xmlns="http://schemas.openxmlformats.org/spreadsheetml/2006/main">
  <c r="D25" i="25" l="1"/>
  <c r="D349" i="25" l="1"/>
  <c r="D202" i="25" l="1"/>
  <c r="D201" i="25"/>
  <c r="B5" i="25" l="1"/>
  <c r="B4" i="25"/>
  <c r="D367" i="25" l="1"/>
  <c r="D366" i="25"/>
  <c r="D358" i="25"/>
  <c r="D356" i="25"/>
  <c r="D355" i="25"/>
  <c r="D354" i="25"/>
  <c r="D353" i="25"/>
  <c r="D351" i="25"/>
  <c r="D350" i="25"/>
  <c r="D341" i="25"/>
  <c r="D336" i="25"/>
  <c r="D335" i="25"/>
  <c r="D334" i="25"/>
  <c r="D319" i="25"/>
  <c r="D313" i="25"/>
  <c r="D312" i="25"/>
  <c r="D311" i="25"/>
  <c r="D310" i="25"/>
  <c r="D309" i="25"/>
  <c r="D308" i="25"/>
  <c r="D307" i="25"/>
  <c r="D306" i="25"/>
  <c r="D305" i="25"/>
  <c r="D304" i="25"/>
  <c r="D303" i="25"/>
  <c r="D302" i="25"/>
  <c r="D225" i="25"/>
  <c r="D224" i="25"/>
  <c r="D223" i="25"/>
  <c r="D222" i="25"/>
  <c r="D221" i="25"/>
  <c r="D220" i="25"/>
  <c r="D217" i="25"/>
  <c r="D216" i="25"/>
  <c r="D215" i="25"/>
  <c r="D214" i="25"/>
  <c r="D213" i="25"/>
  <c r="D212" i="25"/>
  <c r="D211" i="25"/>
  <c r="D208" i="25"/>
  <c r="D204" i="25"/>
  <c r="D145" i="25"/>
  <c r="D144" i="25"/>
  <c r="D143" i="25"/>
  <c r="D142" i="25"/>
  <c r="D141" i="25"/>
  <c r="D140" i="25"/>
  <c r="D63" i="25"/>
  <c r="D61" i="25"/>
  <c r="D60" i="25"/>
  <c r="D58" i="25"/>
  <c r="D57" i="25"/>
  <c r="D52" i="25"/>
  <c r="D51" i="25"/>
  <c r="D50" i="25"/>
  <c r="D49" i="25"/>
  <c r="D48" i="25"/>
  <c r="D47" i="25"/>
  <c r="D45" i="25"/>
  <c r="D44" i="25"/>
  <c r="D41" i="25"/>
  <c r="D40" i="25"/>
  <c r="D38" i="25"/>
  <c r="D37" i="25"/>
  <c r="D35" i="25"/>
  <c r="D30" i="25"/>
  <c r="D27" i="25"/>
  <c r="D24" i="25"/>
  <c r="D22" i="25"/>
  <c r="D21" i="25"/>
  <c r="D13" i="25"/>
  <c r="D12" i="25"/>
  <c r="D11" i="25"/>
  <c r="D8" i="25"/>
  <c r="B367" i="25"/>
  <c r="B366" i="25"/>
  <c r="B365" i="25"/>
  <c r="B349" i="25"/>
  <c r="B334" i="25"/>
  <c r="B319" i="25"/>
  <c r="B304" i="25"/>
  <c r="B303" i="25"/>
  <c r="B302" i="25"/>
  <c r="B292" i="25"/>
  <c r="B283" i="25"/>
  <c r="B274" i="25"/>
  <c r="B265" i="25"/>
  <c r="B256" i="25"/>
  <c r="B247" i="25"/>
  <c r="B229" i="25"/>
  <c r="B220" i="25"/>
  <c r="B211" i="25"/>
  <c r="B210" i="25"/>
  <c r="B209" i="25"/>
  <c r="B204" i="25"/>
  <c r="B202" i="25"/>
  <c r="B201" i="25"/>
  <c r="B194" i="25"/>
  <c r="B188" i="25"/>
  <c r="B182" i="25"/>
  <c r="B176" i="25"/>
  <c r="B170" i="25"/>
  <c r="B164" i="25"/>
  <c r="B158" i="25"/>
  <c r="B146" i="25"/>
  <c r="B140" i="25"/>
  <c r="B139" i="25"/>
  <c r="B134" i="25"/>
  <c r="B111" i="25"/>
  <c r="B109" i="25"/>
  <c r="B107" i="25"/>
  <c r="B106" i="25"/>
  <c r="B84" i="25"/>
  <c r="B82" i="25"/>
  <c r="B80" i="25"/>
  <c r="B79" i="25"/>
  <c r="B78" i="25"/>
  <c r="B77" i="25"/>
  <c r="B76" i="25"/>
  <c r="B75" i="25"/>
  <c r="B74" i="25"/>
  <c r="B73" i="25"/>
  <c r="B70" i="25"/>
  <c r="B67" i="25"/>
  <c r="B64" i="25"/>
  <c r="B63" i="25"/>
  <c r="B62" i="25"/>
  <c r="B61" i="25"/>
  <c r="B60" i="25"/>
  <c r="B58" i="25"/>
  <c r="B57" i="25"/>
  <c r="B53" i="25"/>
  <c r="B52" i="25"/>
  <c r="B51" i="25"/>
  <c r="B50" i="25"/>
  <c r="B49" i="25"/>
  <c r="B48" i="25"/>
  <c r="B47" i="25"/>
  <c r="B45" i="25"/>
  <c r="B44" i="25"/>
  <c r="B42" i="25"/>
  <c r="B41" i="25"/>
  <c r="B40" i="25"/>
  <c r="B39" i="25"/>
  <c r="B38" i="25"/>
  <c r="B37" i="25"/>
  <c r="B35" i="25"/>
  <c r="B34" i="25"/>
  <c r="B32" i="25"/>
  <c r="B30" i="25"/>
  <c r="B28" i="25"/>
  <c r="B27" i="25"/>
  <c r="B25" i="25"/>
  <c r="B24" i="25"/>
  <c r="B23" i="25"/>
  <c r="B22" i="25"/>
  <c r="B21" i="25"/>
  <c r="B16" i="25"/>
  <c r="B15" i="25"/>
  <c r="B14" i="25"/>
  <c r="D7" i="25" l="1"/>
  <c r="B12" i="25"/>
  <c r="B11" i="25"/>
  <c r="B13" i="25"/>
  <c r="B10" i="25"/>
  <c r="B6" i="25"/>
  <c r="B7" i="25"/>
  <c r="B9" i="25"/>
  <c r="B8" i="25"/>
  <c r="D5" i="25" l="1"/>
  <c r="T63" i="17" l="1"/>
  <c r="T38" i="17" l="1"/>
  <c r="T40" i="17"/>
  <c r="H11" i="12" l="1"/>
  <c r="H161" i="12" l="1"/>
  <c r="H159" i="12"/>
  <c r="H156" i="12"/>
  <c r="H158" i="12"/>
  <c r="H153" i="12"/>
  <c r="H150" i="12"/>
  <c r="H141" i="12"/>
  <c r="H91" i="24"/>
  <c r="H90" i="24"/>
  <c r="H5" i="12"/>
  <c r="H7" i="12" s="1"/>
  <c r="T36" i="17" s="1"/>
  <c r="D78" i="22" l="1"/>
  <c r="H241" i="22" l="1"/>
  <c r="J241" i="22" s="1"/>
  <c r="K241" i="22" s="1"/>
  <c r="L240" i="22" s="1"/>
  <c r="M240" i="22" s="1"/>
  <c r="L136" i="12" l="1"/>
  <c r="L138" i="12" s="1"/>
  <c r="K136" i="12"/>
  <c r="L133" i="12"/>
  <c r="L135" i="12" s="1"/>
  <c r="K133" i="12"/>
  <c r="L124" i="12"/>
  <c r="K124" i="12"/>
  <c r="L121" i="12"/>
  <c r="L123" i="12" s="1"/>
  <c r="K121" i="12"/>
  <c r="L126" i="12"/>
  <c r="H149" i="12" l="1"/>
  <c r="H152" i="12"/>
  <c r="H175" i="12"/>
  <c r="H177" i="12" s="1"/>
  <c r="H172" i="12"/>
  <c r="H174" i="12" s="1"/>
  <c r="G362" i="12"/>
  <c r="G347" i="12"/>
  <c r="G332" i="12"/>
  <c r="G317" i="12"/>
  <c r="G302" i="12"/>
  <c r="G287" i="12"/>
  <c r="K126" i="12" l="1"/>
  <c r="K123" i="12"/>
  <c r="K135" i="12"/>
  <c r="K138" i="12"/>
  <c r="J133" i="12"/>
  <c r="D5" i="12" l="1"/>
  <c r="C6" i="12"/>
  <c r="J70" i="24" l="1"/>
  <c r="J59" i="24"/>
  <c r="J55" i="24"/>
  <c r="J80" i="24"/>
  <c r="J78" i="24"/>
  <c r="J76" i="24"/>
  <c r="J77" i="24"/>
  <c r="J83" i="24"/>
  <c r="J82" i="24"/>
  <c r="J75" i="24"/>
  <c r="L8" i="24"/>
  <c r="J35" i="24" s="1"/>
  <c r="J31" i="24"/>
  <c r="J38" i="24"/>
  <c r="J30" i="24"/>
  <c r="J33" i="24"/>
  <c r="J36" i="24"/>
  <c r="J32" i="24"/>
  <c r="J81" i="24"/>
  <c r="J74" i="24"/>
  <c r="J66" i="24"/>
  <c r="J62" i="24"/>
  <c r="J58" i="24"/>
  <c r="J54" i="24"/>
  <c r="J50" i="24"/>
  <c r="J46" i="24"/>
  <c r="J43" i="24"/>
  <c r="J64" i="24"/>
  <c r="J56" i="24"/>
  <c r="J48" i="24"/>
  <c r="J67" i="24"/>
  <c r="J51" i="24"/>
  <c r="J44" i="24"/>
  <c r="J79" i="24"/>
  <c r="J73" i="24"/>
  <c r="J69" i="24"/>
  <c r="J65" i="24"/>
  <c r="J61" i="24"/>
  <c r="J57" i="24"/>
  <c r="J53" i="24"/>
  <c r="J49" i="24"/>
  <c r="J45" i="24"/>
  <c r="J72" i="24"/>
  <c r="J68" i="24"/>
  <c r="J60" i="24"/>
  <c r="J52" i="24"/>
  <c r="J71" i="24"/>
  <c r="J63" i="24"/>
  <c r="J47" i="24"/>
  <c r="H181" i="12"/>
  <c r="J34" i="24" l="1"/>
  <c r="F5" i="24"/>
  <c r="C11" i="17" s="1"/>
  <c r="H178" i="12"/>
  <c r="E377" i="12" l="1"/>
  <c r="E47" i="17" l="1"/>
  <c r="E45" i="17"/>
  <c r="E43" i="17"/>
  <c r="E41" i="17"/>
  <c r="E39" i="17"/>
  <c r="E37" i="17"/>
  <c r="J21" i="17"/>
  <c r="I21" i="17"/>
  <c r="O178" i="12"/>
  <c r="J20" i="17" s="1"/>
  <c r="O177" i="12"/>
  <c r="J19" i="17" s="1"/>
  <c r="O176" i="12"/>
  <c r="J18" i="17" s="1"/>
  <c r="C19" i="17"/>
  <c r="H155" i="12"/>
  <c r="C5" i="17"/>
  <c r="C18" i="17" l="1"/>
  <c r="O165" i="12"/>
  <c r="O167" i="12" s="1"/>
  <c r="D18" i="12" l="1"/>
  <c r="D20" i="12" s="1"/>
  <c r="T85" i="17" l="1"/>
  <c r="C12" i="12" l="1"/>
  <c r="C14" i="12" s="1"/>
  <c r="C9" i="12"/>
  <c r="C11" i="12" s="1"/>
  <c r="C8" i="12"/>
  <c r="C24" i="12"/>
  <c r="D977" i="12"/>
  <c r="D976" i="12"/>
  <c r="D975" i="12"/>
  <c r="D974" i="12"/>
  <c r="D964" i="12"/>
  <c r="D963" i="12"/>
  <c r="D962" i="12"/>
  <c r="D961" i="12"/>
  <c r="D951" i="12"/>
  <c r="D950" i="12"/>
  <c r="D949" i="12"/>
  <c r="D948" i="12"/>
  <c r="D936" i="12"/>
  <c r="D935" i="12"/>
  <c r="D934" i="12"/>
  <c r="D933" i="12"/>
  <c r="D921" i="12"/>
  <c r="D920" i="12"/>
  <c r="D919" i="12"/>
  <c r="D918" i="12"/>
  <c r="D906" i="12"/>
  <c r="D905" i="12"/>
  <c r="D904" i="12"/>
  <c r="D903" i="12"/>
  <c r="D883" i="12"/>
  <c r="D882" i="12"/>
  <c r="D881" i="12"/>
  <c r="D880" i="12"/>
  <c r="D868" i="12"/>
  <c r="D867" i="12"/>
  <c r="D866" i="12"/>
  <c r="D865" i="12"/>
  <c r="D851" i="12"/>
  <c r="D852" i="12"/>
  <c r="D853" i="12"/>
  <c r="D850" i="12"/>
  <c r="H8" i="12"/>
  <c r="T46" i="17" l="1"/>
  <c r="T91" i="17" s="1"/>
  <c r="C92" i="24"/>
  <c r="T44" i="17"/>
  <c r="T89" i="17" s="1"/>
  <c r="C91" i="24"/>
  <c r="T42" i="17"/>
  <c r="T87" i="17" s="1"/>
  <c r="C90" i="24"/>
  <c r="J331" i="22"/>
  <c r="H18" i="12" l="1"/>
  <c r="C112" i="12"/>
  <c r="C118" i="12"/>
  <c r="H20" i="12" l="1"/>
  <c r="C114" i="12"/>
  <c r="K114" i="12" s="1"/>
  <c r="E638" i="12"/>
  <c r="G638" i="12" s="1"/>
  <c r="E608" i="12"/>
  <c r="G608" i="12" s="1"/>
  <c r="E578" i="12"/>
  <c r="G578" i="12" s="1"/>
  <c r="E548" i="12"/>
  <c r="G548" i="12" s="1"/>
  <c r="E545" i="12"/>
  <c r="G545" i="12" s="1"/>
  <c r="E470" i="12"/>
  <c r="G470" i="12" s="1"/>
  <c r="E440" i="12"/>
  <c r="G440" i="12" s="1"/>
  <c r="E410" i="12"/>
  <c r="G410" i="12" s="1"/>
  <c r="E380" i="12"/>
  <c r="G380" i="12" s="1"/>
  <c r="G377" i="12"/>
  <c r="I704" i="12"/>
  <c r="K704" i="12" s="1"/>
  <c r="I703" i="12"/>
  <c r="K703" i="12" s="1"/>
  <c r="I702" i="12"/>
  <c r="K702" i="12" s="1"/>
  <c r="I689" i="12"/>
  <c r="K689" i="12" s="1"/>
  <c r="I688" i="12"/>
  <c r="K688" i="12" s="1"/>
  <c r="I687" i="12"/>
  <c r="K687" i="12" s="1"/>
  <c r="I674" i="12"/>
  <c r="K674" i="12" s="1"/>
  <c r="I673" i="12"/>
  <c r="K673" i="12" s="1"/>
  <c r="I672" i="12"/>
  <c r="K672" i="12" s="1"/>
  <c r="I659" i="12"/>
  <c r="K659" i="12" s="1"/>
  <c r="I658" i="12"/>
  <c r="K658" i="12" s="1"/>
  <c r="I657" i="12"/>
  <c r="K657" i="12" s="1"/>
  <c r="I644" i="12"/>
  <c r="K644" i="12" s="1"/>
  <c r="I643" i="12"/>
  <c r="K643" i="12" s="1"/>
  <c r="I642" i="12"/>
  <c r="K642" i="12" s="1"/>
  <c r="I629" i="12"/>
  <c r="K629" i="12" s="1"/>
  <c r="I628" i="12"/>
  <c r="K628" i="12" s="1"/>
  <c r="I627" i="12"/>
  <c r="K627" i="12" s="1"/>
  <c r="I614" i="12"/>
  <c r="K614" i="12" s="1"/>
  <c r="I613" i="12"/>
  <c r="K613" i="12" s="1"/>
  <c r="I612" i="12"/>
  <c r="K612" i="12" s="1"/>
  <c r="I599" i="12"/>
  <c r="K599" i="12" s="1"/>
  <c r="I598" i="12"/>
  <c r="K598" i="12" s="1"/>
  <c r="I597" i="12"/>
  <c r="K597" i="12" s="1"/>
  <c r="I584" i="12"/>
  <c r="K584" i="12" s="1"/>
  <c r="I583" i="12"/>
  <c r="K583" i="12" s="1"/>
  <c r="I582" i="12"/>
  <c r="K582" i="12" s="1"/>
  <c r="I569" i="12"/>
  <c r="K569" i="12" s="1"/>
  <c r="I568" i="12"/>
  <c r="K568" i="12" s="1"/>
  <c r="I567" i="12"/>
  <c r="K567" i="12" s="1"/>
  <c r="I554" i="12"/>
  <c r="K554" i="12" s="1"/>
  <c r="I553" i="12"/>
  <c r="K553" i="12" s="1"/>
  <c r="I552" i="12"/>
  <c r="K552" i="12" s="1"/>
  <c r="I536" i="12"/>
  <c r="K536" i="12" s="1"/>
  <c r="I535" i="12"/>
  <c r="K535" i="12" s="1"/>
  <c r="I534" i="12"/>
  <c r="K534" i="12" s="1"/>
  <c r="I521" i="12"/>
  <c r="K521" i="12" s="1"/>
  <c r="I520" i="12"/>
  <c r="K520" i="12" s="1"/>
  <c r="I519" i="12"/>
  <c r="K519" i="12" s="1"/>
  <c r="I506" i="12"/>
  <c r="K506" i="12" s="1"/>
  <c r="I505" i="12"/>
  <c r="K505" i="12" s="1"/>
  <c r="I504" i="12"/>
  <c r="K504" i="12" s="1"/>
  <c r="I491" i="12"/>
  <c r="K491" i="12" s="1"/>
  <c r="I490" i="12"/>
  <c r="K490" i="12" s="1"/>
  <c r="I489" i="12"/>
  <c r="K489" i="12" s="1"/>
  <c r="I476" i="12"/>
  <c r="K476" i="12" s="1"/>
  <c r="I475" i="12"/>
  <c r="K475" i="12" s="1"/>
  <c r="I474" i="12"/>
  <c r="K474" i="12" s="1"/>
  <c r="I461" i="12"/>
  <c r="K461" i="12" s="1"/>
  <c r="I460" i="12"/>
  <c r="K460" i="12" s="1"/>
  <c r="I459" i="12"/>
  <c r="K459" i="12" s="1"/>
  <c r="I446" i="12"/>
  <c r="K446" i="12" s="1"/>
  <c r="I445" i="12"/>
  <c r="K445" i="12" s="1"/>
  <c r="I444" i="12"/>
  <c r="K444" i="12" s="1"/>
  <c r="I431" i="12"/>
  <c r="K431" i="12" s="1"/>
  <c r="I430" i="12"/>
  <c r="K430" i="12" s="1"/>
  <c r="I429" i="12"/>
  <c r="K429" i="12" s="1"/>
  <c r="I416" i="12"/>
  <c r="K416" i="12" s="1"/>
  <c r="I415" i="12"/>
  <c r="K415" i="12" s="1"/>
  <c r="I414" i="12"/>
  <c r="K414" i="12" s="1"/>
  <c r="I401" i="12"/>
  <c r="K401" i="12" s="1"/>
  <c r="I400" i="12"/>
  <c r="K400" i="12" s="1"/>
  <c r="I399" i="12"/>
  <c r="K399" i="12" s="1"/>
  <c r="I386" i="12"/>
  <c r="K386" i="12" s="1"/>
  <c r="I385" i="12"/>
  <c r="K385" i="12" s="1"/>
  <c r="I384" i="12"/>
  <c r="K384" i="12" s="1"/>
  <c r="I364" i="12"/>
  <c r="K364" i="12" s="1"/>
  <c r="I363" i="12"/>
  <c r="K363" i="12" s="1"/>
  <c r="I362" i="12"/>
  <c r="K362" i="12" s="1"/>
  <c r="I349" i="12"/>
  <c r="K349" i="12" s="1"/>
  <c r="I348" i="12"/>
  <c r="K348" i="12" s="1"/>
  <c r="I347" i="12"/>
  <c r="K347" i="12" s="1"/>
  <c r="L335" i="12"/>
  <c r="I334" i="12"/>
  <c r="K334" i="12" s="1"/>
  <c r="I333" i="12"/>
  <c r="K333" i="12" s="1"/>
  <c r="I332" i="12"/>
  <c r="K332" i="12" s="1"/>
  <c r="I319" i="12"/>
  <c r="K319" i="12" s="1"/>
  <c r="I318" i="12"/>
  <c r="K318" i="12" s="1"/>
  <c r="I317" i="12"/>
  <c r="K317" i="12" s="1"/>
  <c r="I304" i="12"/>
  <c r="K304" i="12" s="1"/>
  <c r="I303" i="12"/>
  <c r="K303" i="12" s="1"/>
  <c r="I302" i="12"/>
  <c r="K302" i="12" s="1"/>
  <c r="H164" i="12" l="1"/>
  <c r="E114" i="12"/>
  <c r="I114" i="12"/>
  <c r="I289" i="12"/>
  <c r="K289" i="12" s="1"/>
  <c r="I288" i="12"/>
  <c r="K288" i="12" s="1"/>
  <c r="I287" i="12"/>
  <c r="K287" i="12" s="1"/>
  <c r="C38" i="12"/>
  <c r="A202" i="12"/>
  <c r="A204" i="12" s="1"/>
  <c r="A252" i="12"/>
  <c r="B252" i="12"/>
  <c r="D252" i="12"/>
  <c r="E252" i="12"/>
  <c r="A253" i="12"/>
  <c r="B253" i="12"/>
  <c r="D253" i="12"/>
  <c r="E253" i="12"/>
  <c r="A222" i="12"/>
  <c r="A224" i="12" s="1"/>
  <c r="B222" i="12"/>
  <c r="B224" i="12" s="1"/>
  <c r="D222" i="12"/>
  <c r="D224" i="12" s="1"/>
  <c r="E222" i="12"/>
  <c r="E224" i="12" s="1"/>
  <c r="A226" i="12"/>
  <c r="A228" i="12" s="1"/>
  <c r="B226" i="12"/>
  <c r="B228" i="12" s="1"/>
  <c r="D226" i="12"/>
  <c r="D228" i="12" s="1"/>
  <c r="E226" i="12"/>
  <c r="E228" i="12" s="1"/>
  <c r="A230" i="12"/>
  <c r="A232" i="12" s="1"/>
  <c r="B230" i="12"/>
  <c r="B232" i="12" s="1"/>
  <c r="D230" i="12"/>
  <c r="D232" i="12" s="1"/>
  <c r="E230" i="12"/>
  <c r="E232" i="12" s="1"/>
  <c r="A234" i="12"/>
  <c r="A236" i="12" s="1"/>
  <c r="B234" i="12"/>
  <c r="B236" i="12" s="1"/>
  <c r="D234" i="12"/>
  <c r="D236" i="12" s="1"/>
  <c r="E234" i="12"/>
  <c r="E236" i="12" s="1"/>
  <c r="A238" i="12"/>
  <c r="A240" i="12" s="1"/>
  <c r="B238" i="12"/>
  <c r="B240" i="12" s="1"/>
  <c r="D238" i="12"/>
  <c r="D240" i="12" s="1"/>
  <c r="E238" i="12"/>
  <c r="E240" i="12" s="1"/>
  <c r="A244" i="12"/>
  <c r="B244" i="12"/>
  <c r="D244" i="12"/>
  <c r="E244" i="12"/>
  <c r="A245" i="12"/>
  <c r="B245" i="12"/>
  <c r="D245" i="12"/>
  <c r="E245" i="12"/>
  <c r="A246" i="12"/>
  <c r="B246" i="12"/>
  <c r="D246" i="12"/>
  <c r="E246" i="12"/>
  <c r="A247" i="12"/>
  <c r="B247" i="12"/>
  <c r="D247" i="12"/>
  <c r="E247" i="12"/>
  <c r="A248" i="12"/>
  <c r="B248" i="12"/>
  <c r="D248" i="12"/>
  <c r="E248" i="12"/>
  <c r="A249" i="12"/>
  <c r="B249" i="12"/>
  <c r="D249" i="12"/>
  <c r="E249" i="12"/>
  <c r="A250" i="12"/>
  <c r="B250" i="12"/>
  <c r="D250" i="12"/>
  <c r="E250" i="12"/>
  <c r="A251" i="12"/>
  <c r="B251" i="12"/>
  <c r="D251" i="12"/>
  <c r="E251" i="12"/>
  <c r="E218" i="12"/>
  <c r="E220" i="12" s="1"/>
  <c r="D218" i="12"/>
  <c r="D220" i="12" s="1"/>
  <c r="B218" i="12"/>
  <c r="B220" i="12" s="1"/>
  <c r="A218" i="12"/>
  <c r="A220" i="12" s="1"/>
  <c r="E214" i="12"/>
  <c r="E216" i="12" s="1"/>
  <c r="D214" i="12"/>
  <c r="D216" i="12" s="1"/>
  <c r="B214" i="12"/>
  <c r="B216" i="12" s="1"/>
  <c r="A214" i="12"/>
  <c r="A216" i="12" s="1"/>
  <c r="E210" i="12"/>
  <c r="E212" i="12" s="1"/>
  <c r="D210" i="12"/>
  <c r="D212" i="12" s="1"/>
  <c r="B210" i="12"/>
  <c r="B212" i="12" s="1"/>
  <c r="A210" i="12"/>
  <c r="A212" i="12" s="1"/>
  <c r="E206" i="12"/>
  <c r="E208" i="12" s="1"/>
  <c r="D206" i="12"/>
  <c r="D208" i="12" s="1"/>
  <c r="B206" i="12"/>
  <c r="B208" i="12" s="1"/>
  <c r="A206" i="12"/>
  <c r="A208" i="12" s="1"/>
  <c r="E202" i="12"/>
  <c r="E204" i="12" s="1"/>
  <c r="D202" i="12"/>
  <c r="D204" i="12" s="1"/>
  <c r="F130" i="12"/>
  <c r="F132" i="12" s="1"/>
  <c r="B202" i="12"/>
  <c r="B204" i="12" s="1"/>
  <c r="L553" i="12" l="1"/>
  <c r="L348" i="12"/>
  <c r="L385" i="12"/>
  <c r="L568" i="12"/>
  <c r="L415" i="12"/>
  <c r="L598" i="12"/>
  <c r="L303" i="12"/>
  <c r="L114" i="12"/>
  <c r="J85" i="24" s="1"/>
  <c r="F7" i="24" s="1"/>
  <c r="L703" i="12"/>
  <c r="L460" i="12"/>
  <c r="L490" i="12"/>
  <c r="L430" i="12"/>
  <c r="L333" i="12"/>
  <c r="L643" i="12"/>
  <c r="L520" i="12"/>
  <c r="L688" i="12"/>
  <c r="L445" i="12"/>
  <c r="L475" i="12"/>
  <c r="L318" i="12"/>
  <c r="L658" i="12"/>
  <c r="L628" i="12"/>
  <c r="L363" i="12"/>
  <c r="L583" i="12"/>
  <c r="L613" i="12"/>
  <c r="L673" i="12"/>
  <c r="L505" i="12"/>
  <c r="L535" i="12"/>
  <c r="L400" i="12"/>
  <c r="D136" i="12"/>
  <c r="D138" i="12" s="1"/>
  <c r="E136" i="12"/>
  <c r="E138" i="12" s="1"/>
  <c r="F136" i="12"/>
  <c r="F138" i="12" s="1"/>
  <c r="G136" i="12"/>
  <c r="G138" i="12" s="1"/>
  <c r="H136" i="12"/>
  <c r="H138" i="12" s="1"/>
  <c r="I136" i="12"/>
  <c r="I138" i="12" s="1"/>
  <c r="J136" i="12"/>
  <c r="J138" i="12" s="1"/>
  <c r="C136" i="12"/>
  <c r="C138" i="12" s="1"/>
  <c r="D133" i="12"/>
  <c r="D135" i="12" s="1"/>
  <c r="E133" i="12"/>
  <c r="E135" i="12" s="1"/>
  <c r="F133" i="12"/>
  <c r="F135" i="12" s="1"/>
  <c r="G133" i="12"/>
  <c r="G135" i="12" s="1"/>
  <c r="H133" i="12"/>
  <c r="H135" i="12" s="1"/>
  <c r="I133" i="12"/>
  <c r="I135" i="12" s="1"/>
  <c r="J135" i="12"/>
  <c r="C133" i="12"/>
  <c r="C135" i="12" s="1"/>
  <c r="D130" i="12"/>
  <c r="D132" i="12" s="1"/>
  <c r="E130" i="12"/>
  <c r="E132" i="12" s="1"/>
  <c r="G130" i="12"/>
  <c r="G132" i="12" s="1"/>
  <c r="H130" i="12"/>
  <c r="H132" i="12" s="1"/>
  <c r="I130" i="12"/>
  <c r="I132" i="12" s="1"/>
  <c r="J130" i="12"/>
  <c r="J132" i="12" s="1"/>
  <c r="C130" i="12"/>
  <c r="C132" i="12" s="1"/>
  <c r="D124" i="12"/>
  <c r="D126" i="12" s="1"/>
  <c r="E124" i="12"/>
  <c r="E126" i="12" s="1"/>
  <c r="F124" i="12"/>
  <c r="F126" i="12" s="1"/>
  <c r="G124" i="12"/>
  <c r="G126" i="12" s="1"/>
  <c r="H124" i="12"/>
  <c r="H126" i="12" s="1"/>
  <c r="I124" i="12"/>
  <c r="I126" i="12" s="1"/>
  <c r="J124" i="12"/>
  <c r="J126" i="12" s="1"/>
  <c r="C124" i="12"/>
  <c r="C126" i="12" s="1"/>
  <c r="C121" i="12"/>
  <c r="C123" i="12" s="1"/>
  <c r="D121" i="12"/>
  <c r="D123" i="12" s="1"/>
  <c r="E121" i="12"/>
  <c r="E123" i="12" s="1"/>
  <c r="F121" i="12"/>
  <c r="F123" i="12" s="1"/>
  <c r="G121" i="12"/>
  <c r="G123" i="12" s="1"/>
  <c r="H121" i="12"/>
  <c r="H123" i="12" s="1"/>
  <c r="I121" i="12"/>
  <c r="I123" i="12" s="1"/>
  <c r="J121" i="12"/>
  <c r="J123" i="12" s="1"/>
  <c r="F118" i="12"/>
  <c r="F120" i="12" s="1"/>
  <c r="G118" i="12"/>
  <c r="G120" i="12" s="1"/>
  <c r="H118" i="12"/>
  <c r="H120" i="12" s="1"/>
  <c r="I118" i="12"/>
  <c r="I120" i="12" s="1"/>
  <c r="J118" i="12"/>
  <c r="J120" i="12" s="1"/>
  <c r="D118" i="12"/>
  <c r="D120" i="12" s="1"/>
  <c r="E118" i="12"/>
  <c r="E120" i="12" s="1"/>
  <c r="C120" i="12"/>
  <c r="G697" i="12" l="1"/>
  <c r="G699" i="12" s="1"/>
  <c r="E682" i="12"/>
  <c r="E684" i="12" s="1"/>
  <c r="C667" i="12"/>
  <c r="C669" i="12" s="1"/>
  <c r="C637" i="12"/>
  <c r="C639" i="12" s="1"/>
  <c r="C607" i="12"/>
  <c r="C609" i="12" s="1"/>
  <c r="C577" i="12"/>
  <c r="C579" i="12" s="1"/>
  <c r="C547" i="12"/>
  <c r="C549" i="12" s="1"/>
  <c r="C544" i="12"/>
  <c r="C546" i="12" s="1"/>
  <c r="G529" i="12"/>
  <c r="G531" i="12" s="1"/>
  <c r="E514" i="12"/>
  <c r="E516" i="12" s="1"/>
  <c r="C519" i="12" s="1"/>
  <c r="C499" i="12"/>
  <c r="C501" i="12" s="1"/>
  <c r="C469" i="12"/>
  <c r="C471" i="12" s="1"/>
  <c r="C439" i="12"/>
  <c r="C441" i="12" s="1"/>
  <c r="E549" i="12" l="1"/>
  <c r="G549" i="12" s="1"/>
  <c r="E469" i="12"/>
  <c r="G469" i="12" s="1"/>
  <c r="E471" i="12"/>
  <c r="G471" i="12" s="1"/>
  <c r="E544" i="12"/>
  <c r="G544" i="12" s="1"/>
  <c r="E546" i="12"/>
  <c r="G546" i="12" s="1"/>
  <c r="G561" i="12" s="1"/>
  <c r="G576" i="12" s="1"/>
  <c r="G591" i="12" s="1"/>
  <c r="E637" i="12"/>
  <c r="G637" i="12" s="1"/>
  <c r="E639" i="12"/>
  <c r="G639" i="12" s="1"/>
  <c r="E577" i="12"/>
  <c r="G577" i="12" s="1"/>
  <c r="E579" i="12"/>
  <c r="G579" i="12" s="1"/>
  <c r="E441" i="12"/>
  <c r="G441" i="12" s="1"/>
  <c r="E439" i="12"/>
  <c r="G439" i="12" s="1"/>
  <c r="E609" i="12"/>
  <c r="G609" i="12" s="1"/>
  <c r="E607" i="12"/>
  <c r="G607" i="12" s="1"/>
  <c r="E547" i="12"/>
  <c r="G547" i="12" s="1"/>
  <c r="C409" i="12"/>
  <c r="C411" i="12" s="1"/>
  <c r="G398" i="12"/>
  <c r="C379" i="12"/>
  <c r="C376" i="12"/>
  <c r="C378" i="12" s="1"/>
  <c r="C393" i="12" s="1"/>
  <c r="G370" i="12"/>
  <c r="G372" i="12" s="1"/>
  <c r="E370" i="12"/>
  <c r="E372" i="12" s="1"/>
  <c r="G364" i="12"/>
  <c r="I357" i="12"/>
  <c r="I359" i="12" s="1"/>
  <c r="G357" i="12"/>
  <c r="G359" i="12" s="1"/>
  <c r="E357" i="12"/>
  <c r="E359" i="12" s="1"/>
  <c r="C357" i="12"/>
  <c r="C359" i="12" s="1"/>
  <c r="I354" i="12"/>
  <c r="I356" i="12" s="1"/>
  <c r="G354" i="12"/>
  <c r="G356" i="12" s="1"/>
  <c r="E354" i="12"/>
  <c r="E356" i="12" s="1"/>
  <c r="C354" i="12"/>
  <c r="C356" i="12" s="1"/>
  <c r="G349" i="12"/>
  <c r="I342" i="12"/>
  <c r="I344" i="12" s="1"/>
  <c r="G342" i="12"/>
  <c r="G344" i="12" s="1"/>
  <c r="E342" i="12"/>
  <c r="E344" i="12" s="1"/>
  <c r="C342" i="12"/>
  <c r="C344" i="12" s="1"/>
  <c r="I339" i="12"/>
  <c r="I341" i="12" s="1"/>
  <c r="G339" i="12"/>
  <c r="G341" i="12" s="1"/>
  <c r="E339" i="12"/>
  <c r="E341" i="12" s="1"/>
  <c r="C339" i="12"/>
  <c r="C341" i="12" s="1"/>
  <c r="G334" i="12"/>
  <c r="I327" i="12"/>
  <c r="I329" i="12" s="1"/>
  <c r="G327" i="12"/>
  <c r="G329" i="12" s="1"/>
  <c r="E327" i="12"/>
  <c r="E329" i="12" s="1"/>
  <c r="C327" i="12"/>
  <c r="C329" i="12" s="1"/>
  <c r="I324" i="12"/>
  <c r="I326" i="12" s="1"/>
  <c r="G324" i="12"/>
  <c r="G326" i="12" s="1"/>
  <c r="E324" i="12"/>
  <c r="E326" i="12" s="1"/>
  <c r="C324" i="12"/>
  <c r="C326" i="12" s="1"/>
  <c r="G319" i="12"/>
  <c r="I294" i="12"/>
  <c r="I296" i="12" s="1"/>
  <c r="I312" i="12"/>
  <c r="I314" i="12" s="1"/>
  <c r="G312" i="12"/>
  <c r="G314" i="12" s="1"/>
  <c r="E312" i="12"/>
  <c r="E314" i="12" s="1"/>
  <c r="C312" i="12"/>
  <c r="C314" i="12" s="1"/>
  <c r="G297" i="12"/>
  <c r="G299" i="12" s="1"/>
  <c r="E297" i="12"/>
  <c r="E299" i="12" s="1"/>
  <c r="C297" i="12"/>
  <c r="C299" i="12" s="1"/>
  <c r="I309" i="12"/>
  <c r="I311" i="12" s="1"/>
  <c r="G309" i="12"/>
  <c r="G311" i="12" s="1"/>
  <c r="E309" i="12"/>
  <c r="E311" i="12" s="1"/>
  <c r="C309" i="12"/>
  <c r="C311" i="12" s="1"/>
  <c r="G304" i="12"/>
  <c r="I297" i="12"/>
  <c r="I299" i="12" s="1"/>
  <c r="G294" i="12"/>
  <c r="G296" i="12" s="1"/>
  <c r="E294" i="12"/>
  <c r="E296" i="12" s="1"/>
  <c r="C294" i="12"/>
  <c r="C296" i="12" s="1"/>
  <c r="C381" i="12" l="1"/>
  <c r="E381" i="12" s="1"/>
  <c r="G381" i="12" s="1"/>
  <c r="C486" i="12"/>
  <c r="E561" i="12"/>
  <c r="E576" i="12" s="1"/>
  <c r="E591" i="12" s="1"/>
  <c r="C624" i="12"/>
  <c r="E624" i="12" s="1"/>
  <c r="E409" i="12"/>
  <c r="G409" i="12" s="1"/>
  <c r="E411" i="12"/>
  <c r="G411" i="12" s="1"/>
  <c r="E378" i="12"/>
  <c r="G378" i="12" s="1"/>
  <c r="E376" i="12"/>
  <c r="G376" i="12" s="1"/>
  <c r="C561" i="12"/>
  <c r="C576" i="12" s="1"/>
  <c r="C591" i="12" s="1"/>
  <c r="C594" i="12"/>
  <c r="E594" i="12" s="1"/>
  <c r="C564" i="12"/>
  <c r="E379" i="12"/>
  <c r="G379" i="12" s="1"/>
  <c r="C396" i="12"/>
  <c r="C302" i="12"/>
  <c r="E287" i="12"/>
  <c r="E289" i="12" s="1"/>
  <c r="G289" i="12"/>
  <c r="I282" i="12"/>
  <c r="I284" i="12" s="1"/>
  <c r="G282" i="12"/>
  <c r="G284" i="12" s="1"/>
  <c r="E282" i="12"/>
  <c r="E284" i="12" s="1"/>
  <c r="C282" i="12"/>
  <c r="C284" i="12" s="1"/>
  <c r="I279" i="12"/>
  <c r="I281" i="12" s="1"/>
  <c r="G279" i="12"/>
  <c r="G281" i="12" s="1"/>
  <c r="E279" i="12"/>
  <c r="E281" i="12" s="1"/>
  <c r="C279" i="12"/>
  <c r="C281" i="12" s="1"/>
  <c r="G624" i="12" l="1"/>
  <c r="O2" i="5"/>
  <c r="E13" i="5" s="1"/>
  <c r="D37" i="17"/>
  <c r="C426" i="12"/>
  <c r="E426" i="12" s="1"/>
  <c r="G594" i="12"/>
  <c r="G486" i="12"/>
  <c r="E486" i="12"/>
  <c r="G564" i="12"/>
  <c r="E564" i="12"/>
  <c r="C287" i="12"/>
  <c r="C286" i="12"/>
  <c r="L288" i="12"/>
  <c r="G276" i="12"/>
  <c r="O173" i="12"/>
  <c r="O169" i="12"/>
  <c r="O163" i="12"/>
  <c r="O153" i="12"/>
  <c r="O150" i="12"/>
  <c r="O147" i="12"/>
  <c r="O145" i="12"/>
  <c r="H147" i="12"/>
  <c r="H143" i="12"/>
  <c r="H144" i="12"/>
  <c r="H146" i="12" s="1"/>
  <c r="H169" i="12"/>
  <c r="H171" i="12" s="1"/>
  <c r="I161" i="12" l="1"/>
  <c r="I155" i="12"/>
  <c r="C16" i="17"/>
  <c r="O175" i="12"/>
  <c r="O171" i="12"/>
  <c r="O155" i="12"/>
  <c r="O152" i="12"/>
  <c r="O149" i="12"/>
  <c r="L48" i="12"/>
  <c r="L50" i="12" s="1"/>
  <c r="I48" i="12"/>
  <c r="I50" i="12" s="1"/>
  <c r="F48" i="12"/>
  <c r="F50" i="12" s="1"/>
  <c r="D15" i="12"/>
  <c r="D17" i="12" s="1"/>
  <c r="H13" i="12"/>
  <c r="H10" i="12"/>
  <c r="J94" i="19" l="1"/>
  <c r="D256" i="25" s="1"/>
  <c r="L104" i="19"/>
  <c r="L100" i="19"/>
  <c r="D271" i="25" s="1"/>
  <c r="L96" i="19"/>
  <c r="D267" i="25" s="1"/>
  <c r="J103" i="19"/>
  <c r="J99" i="19"/>
  <c r="D261" i="25" s="1"/>
  <c r="J95" i="19"/>
  <c r="D257" i="25" s="1"/>
  <c r="H103" i="19"/>
  <c r="H99" i="19"/>
  <c r="H95" i="19"/>
  <c r="F102" i="19"/>
  <c r="F98" i="19"/>
  <c r="F94" i="19"/>
  <c r="F85" i="19"/>
  <c r="F81" i="19"/>
  <c r="L83" i="19"/>
  <c r="D178" i="25" s="1"/>
  <c r="J85" i="19"/>
  <c r="D174" i="25" s="1"/>
  <c r="J81" i="19"/>
  <c r="D170" i="25" s="1"/>
  <c r="H83" i="19"/>
  <c r="D166" i="25" s="1"/>
  <c r="D85" i="19"/>
  <c r="D81" i="19"/>
  <c r="R53" i="19"/>
  <c r="D69" i="25" s="1"/>
  <c r="P43" i="19"/>
  <c r="F43" i="19"/>
  <c r="Q66" i="19"/>
  <c r="L102" i="19"/>
  <c r="D273" i="25" s="1"/>
  <c r="L94" i="19"/>
  <c r="D265" i="25" s="1"/>
  <c r="J97" i="19"/>
  <c r="D259" i="25" s="1"/>
  <c r="H101" i="19"/>
  <c r="F104" i="19"/>
  <c r="L85" i="19"/>
  <c r="D180" i="25" s="1"/>
  <c r="H85" i="19"/>
  <c r="D168" i="25" s="1"/>
  <c r="D83" i="19"/>
  <c r="P46" i="19"/>
  <c r="N94" i="19"/>
  <c r="D274" i="25" s="1"/>
  <c r="L97" i="19"/>
  <c r="D268" i="25" s="1"/>
  <c r="J100" i="19"/>
  <c r="D262" i="25" s="1"/>
  <c r="H104" i="19"/>
  <c r="H96" i="19"/>
  <c r="F99" i="19"/>
  <c r="F82" i="19"/>
  <c r="J86" i="19"/>
  <c r="D175" i="25" s="1"/>
  <c r="H84" i="19"/>
  <c r="D167" i="25" s="1"/>
  <c r="D82" i="19"/>
  <c r="P44" i="19"/>
  <c r="L103" i="19"/>
  <c r="L99" i="19"/>
  <c r="D270" i="25" s="1"/>
  <c r="L95" i="19"/>
  <c r="D266" i="25" s="1"/>
  <c r="J102" i="19"/>
  <c r="D264" i="25" s="1"/>
  <c r="J98" i="19"/>
  <c r="D260" i="25" s="1"/>
  <c r="H102" i="19"/>
  <c r="H98" i="19"/>
  <c r="H94" i="19"/>
  <c r="F101" i="19"/>
  <c r="F97" i="19"/>
  <c r="F84" i="19"/>
  <c r="L86" i="19"/>
  <c r="D181" i="25" s="1"/>
  <c r="L82" i="19"/>
  <c r="D177" i="25" s="1"/>
  <c r="J84" i="19"/>
  <c r="D173" i="25" s="1"/>
  <c r="H86" i="19"/>
  <c r="D169" i="25" s="1"/>
  <c r="H82" i="19"/>
  <c r="D165" i="25" s="1"/>
  <c r="D84" i="19"/>
  <c r="R52" i="19"/>
  <c r="D66" i="25" s="1"/>
  <c r="N95" i="19"/>
  <c r="D275" i="25" s="1"/>
  <c r="L98" i="19"/>
  <c r="D269" i="25" s="1"/>
  <c r="J101" i="19"/>
  <c r="F90" i="19"/>
  <c r="H97" i="19"/>
  <c r="F100" i="19"/>
  <c r="F96" i="19"/>
  <c r="F83" i="19"/>
  <c r="L81" i="19"/>
  <c r="D176" i="25" s="1"/>
  <c r="J83" i="19"/>
  <c r="D172" i="25" s="1"/>
  <c r="H81" i="19"/>
  <c r="D164" i="25" s="1"/>
  <c r="K66" i="19"/>
  <c r="F46" i="19"/>
  <c r="L101" i="19"/>
  <c r="J104" i="19"/>
  <c r="J96" i="19"/>
  <c r="D258" i="25" s="1"/>
  <c r="H100" i="19"/>
  <c r="F103" i="19"/>
  <c r="F95" i="19"/>
  <c r="F86" i="19"/>
  <c r="L84" i="19"/>
  <c r="D179" i="25" s="1"/>
  <c r="J82" i="19"/>
  <c r="D171" i="25" s="1"/>
  <c r="D86" i="19"/>
  <c r="R54" i="19"/>
  <c r="D72" i="25" s="1"/>
  <c r="F44" i="19"/>
  <c r="N96" i="19"/>
  <c r="D276" i="25" s="1"/>
  <c r="N97" i="19"/>
  <c r="D277" i="25" s="1"/>
  <c r="N98" i="19"/>
  <c r="D278" i="25" s="1"/>
  <c r="N99" i="19"/>
  <c r="D279" i="25" s="1"/>
  <c r="N100" i="19"/>
  <c r="D280" i="25" s="1"/>
  <c r="N101" i="19"/>
  <c r="N102" i="19"/>
  <c r="D282" i="25" s="1"/>
  <c r="N103" i="19"/>
  <c r="P90" i="19"/>
  <c r="R103" i="19" s="1"/>
  <c r="R95" i="19"/>
  <c r="D293" i="25" s="1"/>
  <c r="R100" i="19"/>
  <c r="D298" i="25" s="1"/>
  <c r="R97" i="19"/>
  <c r="D295" i="25" s="1"/>
  <c r="R101" i="19"/>
  <c r="N104" i="19"/>
  <c r="R104" i="19"/>
  <c r="K56" i="19"/>
  <c r="R96" i="19"/>
  <c r="D294" i="25" s="1"/>
  <c r="R94" i="19"/>
  <c r="D292" i="25" s="1"/>
  <c r="R99" i="19"/>
  <c r="D297" i="25" s="1"/>
  <c r="P94" i="19"/>
  <c r="D283" i="25" s="1"/>
  <c r="P95" i="19"/>
  <c r="D284" i="25" s="1"/>
  <c r="P96" i="19"/>
  <c r="D285" i="25" s="1"/>
  <c r="P97" i="19"/>
  <c r="D286" i="25" s="1"/>
  <c r="P98" i="19"/>
  <c r="D287" i="25" s="1"/>
  <c r="Q56" i="19"/>
  <c r="F77" i="19"/>
  <c r="P84" i="19" s="1"/>
  <c r="D191" i="25" s="1"/>
  <c r="P99" i="19"/>
  <c r="D288" i="25" s="1"/>
  <c r="R84" i="19"/>
  <c r="D197" i="25" s="1"/>
  <c r="R81" i="19"/>
  <c r="D194" i="25" s="1"/>
  <c r="N81" i="19"/>
  <c r="D182" i="25" s="1"/>
  <c r="P83" i="19"/>
  <c r="D190" i="25" s="1"/>
  <c r="P85" i="19"/>
  <c r="D192" i="25" s="1"/>
  <c r="R82" i="19"/>
  <c r="D195" i="25" s="1"/>
  <c r="P81" i="19"/>
  <c r="D188" i="25" s="1"/>
  <c r="N86" i="19"/>
  <c r="D187" i="25" s="1"/>
  <c r="N82" i="19"/>
  <c r="D183" i="25" s="1"/>
  <c r="R86" i="19"/>
  <c r="D199" i="25" s="1"/>
  <c r="N84" i="19"/>
  <c r="D185" i="25" s="1"/>
  <c r="R85" i="19"/>
  <c r="D198" i="25" s="1"/>
  <c r="N83" i="19"/>
  <c r="D184" i="25" s="1"/>
  <c r="P100" i="19"/>
  <c r="D289" i="25" s="1"/>
  <c r="P82" i="19"/>
  <c r="D189" i="25" s="1"/>
  <c r="P101" i="19"/>
  <c r="P102" i="19"/>
  <c r="D291" i="25" s="1"/>
  <c r="P104" i="19"/>
  <c r="P103" i="19"/>
  <c r="L69" i="19"/>
  <c r="D115" i="25" s="1"/>
  <c r="F62" i="19"/>
  <c r="D80" i="25" s="1"/>
  <c r="T71" i="19"/>
  <c r="D131" i="25" s="1"/>
  <c r="J63" i="19"/>
  <c r="D93" i="25" s="1"/>
  <c r="J69" i="19"/>
  <c r="D114" i="25" s="1"/>
  <c r="J71" i="19"/>
  <c r="D126" i="25" s="1"/>
  <c r="H63" i="19"/>
  <c r="D83" i="25" s="1"/>
  <c r="H69" i="19"/>
  <c r="D108" i="25" s="1"/>
  <c r="H71" i="19"/>
  <c r="D112" i="25" s="1"/>
  <c r="L70" i="19"/>
  <c r="D121" i="25" s="1"/>
  <c r="T62" i="19"/>
  <c r="D92" i="25" s="1"/>
  <c r="P64" i="19"/>
  <c r="D102" i="25" s="1"/>
  <c r="N70" i="19"/>
  <c r="D122" i="25" s="1"/>
  <c r="F64" i="19"/>
  <c r="D84" i="25" s="1"/>
  <c r="J62" i="19"/>
  <c r="D87" i="25" s="1"/>
  <c r="T64" i="19"/>
  <c r="D104" i="25" s="1"/>
  <c r="R70" i="19"/>
  <c r="D124" i="25" s="1"/>
  <c r="T63" i="19"/>
  <c r="D98" i="25" s="1"/>
  <c r="R64" i="19"/>
  <c r="D103" i="25" s="1"/>
  <c r="P70" i="19"/>
  <c r="D123" i="25" s="1"/>
  <c r="R62" i="19"/>
  <c r="D91" i="25" s="1"/>
  <c r="L71" i="19"/>
  <c r="D127" i="25" s="1"/>
  <c r="L62" i="19"/>
  <c r="D88" i="25" s="1"/>
  <c r="H64" i="19"/>
  <c r="D85" i="25" s="1"/>
  <c r="F71" i="19"/>
  <c r="D111" i="25" s="1"/>
  <c r="F70" i="19"/>
  <c r="D109" i="25" s="1"/>
  <c r="N64" i="19"/>
  <c r="D101" i="25" s="1"/>
  <c r="P62" i="19"/>
  <c r="D90" i="25" s="1"/>
  <c r="L64" i="19"/>
  <c r="D100" i="25" s="1"/>
  <c r="J70" i="19"/>
  <c r="D120" i="25" s="1"/>
  <c r="N69" i="19"/>
  <c r="D116" i="25" s="1"/>
  <c r="J64" i="19"/>
  <c r="D99" i="25" s="1"/>
  <c r="H70" i="19"/>
  <c r="D110" i="25" s="1"/>
  <c r="L63" i="19"/>
  <c r="D94" i="25" s="1"/>
  <c r="N62" i="19"/>
  <c r="D89" i="25" s="1"/>
  <c r="N63" i="19"/>
  <c r="D95" i="25" s="1"/>
  <c r="P69" i="19"/>
  <c r="D117" i="25" s="1"/>
  <c r="N71" i="19"/>
  <c r="D128" i="25" s="1"/>
  <c r="T70" i="19"/>
  <c r="D125" i="25" s="1"/>
  <c r="R63" i="19"/>
  <c r="D97" i="25" s="1"/>
  <c r="T69" i="19"/>
  <c r="D119" i="25" s="1"/>
  <c r="R71" i="19"/>
  <c r="D130" i="25" s="1"/>
  <c r="H62" i="19"/>
  <c r="D81" i="25" s="1"/>
  <c r="R69" i="19"/>
  <c r="D118" i="25" s="1"/>
  <c r="P71" i="19"/>
  <c r="D129" i="25" s="1"/>
  <c r="F69" i="19"/>
  <c r="D107" i="25" s="1"/>
  <c r="P63" i="19"/>
  <c r="D96" i="25" s="1"/>
  <c r="F63" i="19"/>
  <c r="D82" i="25" s="1"/>
  <c r="J24" i="17"/>
  <c r="J22" i="17"/>
  <c r="J23" i="17"/>
  <c r="J86" i="24"/>
  <c r="C13" i="17" s="1"/>
  <c r="C8" i="17"/>
  <c r="J17" i="17"/>
  <c r="I17" i="17"/>
  <c r="H89" i="24"/>
  <c r="T82" i="19"/>
  <c r="T95" i="19"/>
  <c r="T86" i="19"/>
  <c r="T104" i="19"/>
  <c r="T103" i="19"/>
  <c r="T94" i="19"/>
  <c r="T81" i="19"/>
  <c r="T85" i="19"/>
  <c r="R59" i="19"/>
  <c r="D78" i="25" s="1"/>
  <c r="H190" i="12"/>
  <c r="H192" i="12" s="1"/>
  <c r="H194" i="12" s="1"/>
  <c r="H189" i="12"/>
  <c r="H187" i="12"/>
  <c r="H184" i="12"/>
  <c r="H186" i="12" s="1"/>
  <c r="H183" i="12"/>
  <c r="H180" i="12"/>
  <c r="C82" i="12"/>
  <c r="D200" i="25" l="1"/>
  <c r="R83" i="19"/>
  <c r="D196" i="25" s="1"/>
  <c r="N85" i="19"/>
  <c r="D186" i="25" s="1"/>
  <c r="P86" i="19"/>
  <c r="D193" i="25" s="1"/>
  <c r="R98" i="19"/>
  <c r="D296" i="25" s="1"/>
  <c r="R102" i="19"/>
  <c r="D300" i="25" s="1"/>
  <c r="I174" i="12"/>
  <c r="C21" i="17"/>
  <c r="B119" i="21"/>
  <c r="C7" i="17"/>
  <c r="B130" i="19"/>
  <c r="N59" i="19"/>
  <c r="D79" i="25" s="1"/>
  <c r="H58" i="19"/>
  <c r="D74" i="25" s="1"/>
  <c r="R58" i="19"/>
  <c r="D76" i="25" s="1"/>
  <c r="N58" i="19"/>
  <c r="D75" i="25" s="1"/>
  <c r="H59" i="19"/>
  <c r="D77" i="25" s="1"/>
  <c r="E402" i="12"/>
  <c r="C387" i="12"/>
  <c r="I102" i="12"/>
  <c r="I104" i="12" s="1"/>
  <c r="P49" i="19" s="1"/>
  <c r="C102" i="12"/>
  <c r="C104" i="12" s="1"/>
  <c r="F49" i="19" s="1"/>
  <c r="I98" i="12"/>
  <c r="I100" i="12" s="1"/>
  <c r="P48" i="19" s="1"/>
  <c r="C98" i="12"/>
  <c r="C100" i="12" s="1"/>
  <c r="F48" i="19" s="1"/>
  <c r="I94" i="12"/>
  <c r="I96" i="12" s="1"/>
  <c r="P47" i="19" s="1"/>
  <c r="C94" i="12"/>
  <c r="C96" i="12" s="1"/>
  <c r="F47" i="19" s="1"/>
  <c r="I90" i="12"/>
  <c r="I92" i="12" s="1"/>
  <c r="P45" i="19" s="1"/>
  <c r="C90" i="12"/>
  <c r="C92" i="12" s="1"/>
  <c r="F45" i="19" s="1"/>
  <c r="I86" i="12"/>
  <c r="I88" i="12" s="1"/>
  <c r="P42" i="19" s="1"/>
  <c r="C86" i="12"/>
  <c r="C88" i="12" s="1"/>
  <c r="F42" i="19" s="1"/>
  <c r="I82" i="12"/>
  <c r="I84" i="12" s="1"/>
  <c r="P41" i="19" s="1"/>
  <c r="C84" i="12"/>
  <c r="F41" i="19" s="1"/>
  <c r="E77" i="12"/>
  <c r="E79" i="12" s="1"/>
  <c r="I77" i="12"/>
  <c r="I79" i="12" s="1"/>
  <c r="M39" i="19" s="1"/>
  <c r="D39" i="25" s="1"/>
  <c r="C77" i="12"/>
  <c r="C79" i="12" s="1"/>
  <c r="E72" i="12"/>
  <c r="C72" i="12"/>
  <c r="I72" i="12"/>
  <c r="I74" i="12" s="1"/>
  <c r="I64" i="12"/>
  <c r="I66" i="12" s="1"/>
  <c r="K68" i="12"/>
  <c r="K70" i="12" s="1"/>
  <c r="I68" i="12"/>
  <c r="I70" i="12" s="1"/>
  <c r="C68" i="12"/>
  <c r="C70" i="12" s="1"/>
  <c r="C64" i="12"/>
  <c r="C66" i="12" s="1"/>
  <c r="I60" i="12"/>
  <c r="I62" i="12" s="1"/>
  <c r="I56" i="12"/>
  <c r="I58" i="12" s="1"/>
  <c r="C60" i="12"/>
  <c r="C56" i="12"/>
  <c r="J52" i="12"/>
  <c r="J54" i="12" s="1"/>
  <c r="C52" i="12"/>
  <c r="C44" i="12"/>
  <c r="C46" i="12" s="1"/>
  <c r="C40" i="12"/>
  <c r="C42" i="12" s="1"/>
  <c r="I38" i="12"/>
  <c r="C34" i="12"/>
  <c r="C36" i="12" s="1"/>
  <c r="C30" i="12"/>
  <c r="C32" i="12" s="1"/>
  <c r="C26" i="12"/>
  <c r="C28" i="12" s="1"/>
  <c r="I24" i="12"/>
  <c r="I70" i="21"/>
  <c r="T83" i="17"/>
  <c r="C58" i="12" l="1"/>
  <c r="F34" i="19" s="1"/>
  <c r="C62" i="12"/>
  <c r="F35" i="21" s="1"/>
  <c r="N53" i="19"/>
  <c r="D67" i="25" s="1"/>
  <c r="H16" i="21"/>
  <c r="C59" i="21"/>
  <c r="F25" i="19"/>
  <c r="D102" i="19"/>
  <c r="I115" i="19"/>
  <c r="B63" i="21"/>
  <c r="R35" i="19"/>
  <c r="D34" i="25" s="1"/>
  <c r="B117" i="19"/>
  <c r="F37" i="21"/>
  <c r="I59" i="21"/>
  <c r="D94" i="19"/>
  <c r="C111" i="19"/>
  <c r="D321" i="25" s="1"/>
  <c r="F46" i="21"/>
  <c r="I68" i="21"/>
  <c r="G70" i="21"/>
  <c r="C71" i="21"/>
  <c r="B69" i="21"/>
  <c r="I58" i="21"/>
  <c r="I63" i="21"/>
  <c r="G59" i="21"/>
  <c r="G63" i="21"/>
  <c r="C58" i="21"/>
  <c r="C62" i="21"/>
  <c r="G55" i="21"/>
  <c r="B58" i="21"/>
  <c r="B62" i="21"/>
  <c r="F51" i="21"/>
  <c r="P46" i="21"/>
  <c r="P42" i="21"/>
  <c r="F47" i="21"/>
  <c r="F43" i="21"/>
  <c r="M38" i="21"/>
  <c r="R34" i="21"/>
  <c r="M34" i="21"/>
  <c r="F34" i="21"/>
  <c r="F28" i="21"/>
  <c r="F24" i="21"/>
  <c r="M16" i="21"/>
  <c r="D126" i="19"/>
  <c r="I110" i="19"/>
  <c r="I114" i="19"/>
  <c r="I118" i="19"/>
  <c r="G112" i="19"/>
  <c r="D337" i="25" s="1"/>
  <c r="G116" i="19"/>
  <c r="C110" i="19"/>
  <c r="D320" i="25" s="1"/>
  <c r="C114" i="19"/>
  <c r="D324" i="25" s="1"/>
  <c r="C118" i="19"/>
  <c r="D328" i="25" s="1"/>
  <c r="B112" i="19"/>
  <c r="B116" i="19"/>
  <c r="D103" i="19"/>
  <c r="D97" i="19"/>
  <c r="D101" i="19"/>
  <c r="N54" i="19"/>
  <c r="D70" i="25" s="1"/>
  <c r="R36" i="19"/>
  <c r="M36" i="19"/>
  <c r="F36" i="19"/>
  <c r="D23" i="25" s="1"/>
  <c r="F30" i="19"/>
  <c r="F26" i="19"/>
  <c r="F23" i="19"/>
  <c r="D14" i="25" s="1"/>
  <c r="C16" i="19"/>
  <c r="D4" i="25" s="1"/>
  <c r="F72" i="21"/>
  <c r="G68" i="21"/>
  <c r="C70" i="21"/>
  <c r="B68" i="21"/>
  <c r="I56" i="21"/>
  <c r="I62" i="21"/>
  <c r="G58" i="21"/>
  <c r="G62" i="21"/>
  <c r="C57" i="21"/>
  <c r="C61" i="21"/>
  <c r="I55" i="21"/>
  <c r="B57" i="21"/>
  <c r="B61" i="21"/>
  <c r="B55" i="21"/>
  <c r="P47" i="21"/>
  <c r="P43" i="21"/>
  <c r="F48" i="21"/>
  <c r="F44" i="21"/>
  <c r="M39" i="21"/>
  <c r="R35" i="21"/>
  <c r="M35" i="21"/>
  <c r="F29" i="21"/>
  <c r="F25" i="21"/>
  <c r="F19" i="21"/>
  <c r="Q130" i="19"/>
  <c r="D125" i="19"/>
  <c r="F120" i="19"/>
  <c r="I113" i="19"/>
  <c r="I117" i="19"/>
  <c r="D357" i="25" s="1"/>
  <c r="G111" i="19"/>
  <c r="G115" i="19"/>
  <c r="D340" i="25" s="1"/>
  <c r="G109" i="19"/>
  <c r="C113" i="19"/>
  <c r="D323" i="25" s="1"/>
  <c r="C117" i="19"/>
  <c r="D327" i="25" s="1"/>
  <c r="B111" i="19"/>
  <c r="B115" i="19"/>
  <c r="B109" i="19"/>
  <c r="D104" i="19"/>
  <c r="D96" i="19"/>
  <c r="D100" i="19"/>
  <c r="P52" i="19"/>
  <c r="D65" i="25" s="1"/>
  <c r="R37" i="19"/>
  <c r="M37" i="19"/>
  <c r="F37" i="19"/>
  <c r="R30" i="19"/>
  <c r="F27" i="19"/>
  <c r="D9" i="25" s="1"/>
  <c r="R23" i="19"/>
  <c r="H16" i="19"/>
  <c r="D74" i="21"/>
  <c r="I71" i="21"/>
  <c r="C68" i="21"/>
  <c r="C67" i="21"/>
  <c r="B67" i="21"/>
  <c r="I60" i="21"/>
  <c r="G57" i="21"/>
  <c r="G61" i="21"/>
  <c r="C56" i="21"/>
  <c r="C60" i="21"/>
  <c r="C64" i="21"/>
  <c r="B56" i="21"/>
  <c r="B60" i="21"/>
  <c r="B64" i="21"/>
  <c r="P48" i="21"/>
  <c r="P44" i="21"/>
  <c r="F49" i="21"/>
  <c r="F45" i="21"/>
  <c r="F41" i="21"/>
  <c r="R36" i="21"/>
  <c r="M36" i="21"/>
  <c r="F36" i="21"/>
  <c r="F30" i="21"/>
  <c r="F26" i="21"/>
  <c r="F23" i="21"/>
  <c r="C16" i="21"/>
  <c r="D124" i="19"/>
  <c r="D122" i="19"/>
  <c r="D365" i="25" s="1"/>
  <c r="I112" i="19"/>
  <c r="D352" i="25" s="1"/>
  <c r="I116" i="19"/>
  <c r="G110" i="19"/>
  <c r="G114" i="19"/>
  <c r="D339" i="25" s="1"/>
  <c r="G118" i="19"/>
  <c r="D343" i="25" s="1"/>
  <c r="C112" i="19"/>
  <c r="D322" i="25" s="1"/>
  <c r="C116" i="19"/>
  <c r="D326" i="25" s="1"/>
  <c r="B110" i="19"/>
  <c r="B114" i="19"/>
  <c r="B118" i="19"/>
  <c r="F24" i="19"/>
  <c r="R34" i="19"/>
  <c r="N52" i="19"/>
  <c r="D64" i="25" s="1"/>
  <c r="D95" i="19"/>
  <c r="C115" i="19"/>
  <c r="D325" i="25" s="1"/>
  <c r="I109" i="19"/>
  <c r="D123" i="19"/>
  <c r="R30" i="21"/>
  <c r="F42" i="21"/>
  <c r="P49" i="21"/>
  <c r="C63" i="21"/>
  <c r="I64" i="21"/>
  <c r="G71" i="21"/>
  <c r="F19" i="19"/>
  <c r="F29" i="19"/>
  <c r="M35" i="19"/>
  <c r="P54" i="19"/>
  <c r="D71" i="25" s="1"/>
  <c r="D98" i="19"/>
  <c r="C109" i="19"/>
  <c r="G113" i="19"/>
  <c r="D338" i="25" s="1"/>
  <c r="D127" i="19"/>
  <c r="F27" i="21"/>
  <c r="R37" i="21"/>
  <c r="P45" i="21"/>
  <c r="C55" i="21"/>
  <c r="G60" i="21"/>
  <c r="I67" i="21"/>
  <c r="M16" i="19"/>
  <c r="D6" i="25" s="1"/>
  <c r="F28" i="19"/>
  <c r="D10" i="25" s="1"/>
  <c r="M34" i="19"/>
  <c r="M38" i="19"/>
  <c r="P53" i="19"/>
  <c r="D68" i="25" s="1"/>
  <c r="D99" i="19"/>
  <c r="B113" i="19"/>
  <c r="G117" i="19"/>
  <c r="D342" i="25" s="1"/>
  <c r="I111" i="19"/>
  <c r="R23" i="21"/>
  <c r="M37" i="21"/>
  <c r="P41" i="21"/>
  <c r="B59" i="21"/>
  <c r="G64" i="21"/>
  <c r="B71" i="21"/>
  <c r="Q119" i="21"/>
  <c r="G56" i="21"/>
  <c r="I61" i="21"/>
  <c r="I57" i="21"/>
  <c r="B70" i="21"/>
  <c r="G67" i="21"/>
  <c r="C69" i="21"/>
  <c r="G69" i="21"/>
  <c r="I69" i="21"/>
  <c r="E979" i="12"/>
  <c r="E966" i="12"/>
  <c r="J14" i="17"/>
  <c r="I14" i="17"/>
  <c r="C89" i="24" l="1"/>
  <c r="T34" i="17"/>
  <c r="F35" i="19"/>
  <c r="A36" i="17"/>
  <c r="H195" i="12"/>
  <c r="B8" i="20"/>
  <c r="I1" i="5" s="1"/>
  <c r="E51" i="5"/>
  <c r="E41" i="5"/>
  <c r="C4" i="16"/>
  <c r="C3" i="16"/>
  <c r="H197" i="12" l="1"/>
  <c r="H196" i="12"/>
  <c r="E978" i="12"/>
  <c r="I705" i="12"/>
  <c r="G705" i="12"/>
  <c r="E705" i="12"/>
  <c r="C705" i="12"/>
  <c r="I690" i="12"/>
  <c r="G690" i="12"/>
  <c r="E690" i="12"/>
  <c r="C690" i="12"/>
  <c r="I675" i="12"/>
  <c r="G675" i="12"/>
  <c r="E675" i="12"/>
  <c r="C675" i="12"/>
  <c r="I507" i="12"/>
  <c r="G507" i="12"/>
  <c r="I537" i="12"/>
  <c r="G537" i="12"/>
  <c r="E537" i="12"/>
  <c r="C537" i="12"/>
  <c r="I522" i="12"/>
  <c r="E522" i="12"/>
  <c r="G522" i="12"/>
  <c r="C522" i="12"/>
  <c r="E507" i="12"/>
  <c r="C507" i="12"/>
  <c r="I660" i="12"/>
  <c r="G660" i="12"/>
  <c r="E660" i="12"/>
  <c r="C660" i="12"/>
  <c r="I645" i="12"/>
  <c r="G645" i="12"/>
  <c r="E645" i="12"/>
  <c r="C645" i="12"/>
  <c r="I630" i="12"/>
  <c r="G630" i="12"/>
  <c r="E630" i="12"/>
  <c r="C630" i="12"/>
  <c r="I615" i="12"/>
  <c r="G615" i="12"/>
  <c r="E615" i="12"/>
  <c r="C615" i="12"/>
  <c r="I600" i="12"/>
  <c r="G600" i="12"/>
  <c r="E600" i="12"/>
  <c r="C600" i="12"/>
  <c r="I585" i="12"/>
  <c r="G585" i="12"/>
  <c r="E585" i="12"/>
  <c r="C585" i="12"/>
  <c r="I570" i="12"/>
  <c r="G570" i="12"/>
  <c r="E570" i="12"/>
  <c r="C570" i="12"/>
  <c r="I555" i="12"/>
  <c r="G555" i="12"/>
  <c r="E555" i="12"/>
  <c r="C555" i="12"/>
  <c r="I492" i="12"/>
  <c r="G492" i="12"/>
  <c r="E492" i="12"/>
  <c r="C492" i="12"/>
  <c r="I477" i="12"/>
  <c r="G477" i="12"/>
  <c r="E477" i="12"/>
  <c r="C477" i="12"/>
  <c r="I462" i="12"/>
  <c r="G462" i="12"/>
  <c r="E462" i="12"/>
  <c r="C462" i="12"/>
  <c r="I447" i="12"/>
  <c r="G447" i="12"/>
  <c r="E447" i="12"/>
  <c r="C447" i="12"/>
  <c r="I432" i="12"/>
  <c r="G432" i="12"/>
  <c r="E432" i="12"/>
  <c r="C432" i="12"/>
  <c r="I417" i="12"/>
  <c r="G417" i="12"/>
  <c r="E417" i="12"/>
  <c r="C417" i="12"/>
  <c r="I402" i="12"/>
  <c r="G402" i="12"/>
  <c r="C402" i="12"/>
  <c r="I387" i="12"/>
  <c r="G387" i="12"/>
  <c r="E23" i="5"/>
  <c r="I5" i="17"/>
  <c r="I700" i="12"/>
  <c r="F47" i="17"/>
  <c r="F45" i="17"/>
  <c r="F43" i="17"/>
  <c r="F41" i="17"/>
  <c r="F39" i="17"/>
  <c r="F37" i="17"/>
  <c r="I285" i="12" l="1"/>
  <c r="I330" i="12"/>
  <c r="I345" i="12"/>
  <c r="I300" i="12"/>
  <c r="I315" i="12"/>
  <c r="I427" i="12"/>
  <c r="I487" i="12"/>
  <c r="I532" i="12"/>
  <c r="I565" i="12"/>
  <c r="I595" i="12"/>
  <c r="I655" i="12"/>
  <c r="I685" i="12"/>
  <c r="I382" i="12"/>
  <c r="I397" i="12"/>
  <c r="I502" i="12"/>
  <c r="I412" i="12"/>
  <c r="I472" i="12"/>
  <c r="I517" i="12"/>
  <c r="I550" i="12"/>
  <c r="I580" i="12"/>
  <c r="I640" i="12"/>
  <c r="I670" i="12"/>
  <c r="E74" i="17"/>
  <c r="F74" i="17"/>
  <c r="H74" i="17"/>
  <c r="K74" i="17"/>
  <c r="M74" i="17"/>
  <c r="O74" i="17"/>
  <c r="P74" i="17"/>
  <c r="R74" i="17"/>
  <c r="T74" i="17"/>
  <c r="U74" i="17"/>
  <c r="E75" i="17"/>
  <c r="F75" i="17"/>
  <c r="H75" i="17"/>
  <c r="K75" i="17"/>
  <c r="M75" i="17"/>
  <c r="O75" i="17"/>
  <c r="P75" i="17"/>
  <c r="R75" i="17"/>
  <c r="T75" i="17"/>
  <c r="U75" i="17"/>
  <c r="C74" i="17"/>
  <c r="C75" i="17"/>
  <c r="B74" i="17"/>
  <c r="B75" i="17"/>
  <c r="U73" i="17"/>
  <c r="T73" i="17"/>
  <c r="R73" i="17"/>
  <c r="P73" i="17"/>
  <c r="O73" i="17"/>
  <c r="M73" i="17"/>
  <c r="K73" i="17"/>
  <c r="H73" i="17"/>
  <c r="F73" i="17"/>
  <c r="E73" i="17"/>
  <c r="C73" i="17"/>
  <c r="B73" i="17"/>
  <c r="H70" i="17"/>
  <c r="I70" i="17"/>
  <c r="J70" i="17"/>
  <c r="K70" i="17"/>
  <c r="L70" i="17"/>
  <c r="M70" i="17"/>
  <c r="N70" i="17"/>
  <c r="O70" i="17"/>
  <c r="P70" i="17"/>
  <c r="Q70" i="17"/>
  <c r="R70" i="17"/>
  <c r="S70" i="17"/>
  <c r="T70" i="17"/>
  <c r="U70" i="17"/>
  <c r="H71" i="17"/>
  <c r="I71" i="17"/>
  <c r="J71" i="17"/>
  <c r="K71" i="17"/>
  <c r="L71" i="17"/>
  <c r="M71" i="17"/>
  <c r="N71" i="17"/>
  <c r="O71" i="17"/>
  <c r="P71" i="17"/>
  <c r="Q71" i="17"/>
  <c r="R71" i="17"/>
  <c r="S71" i="17"/>
  <c r="T71" i="17"/>
  <c r="U71" i="17"/>
  <c r="H72" i="17"/>
  <c r="I72" i="17"/>
  <c r="J72" i="17"/>
  <c r="K72" i="17"/>
  <c r="L72" i="17"/>
  <c r="M72" i="17"/>
  <c r="N72" i="17"/>
  <c r="O72" i="17"/>
  <c r="P72" i="17"/>
  <c r="Q72" i="17"/>
  <c r="R72" i="17"/>
  <c r="S72" i="17"/>
  <c r="T72" i="17"/>
  <c r="U72" i="17"/>
  <c r="G70" i="17"/>
  <c r="G71" i="17"/>
  <c r="G72" i="17"/>
  <c r="F70" i="17"/>
  <c r="F71" i="17"/>
  <c r="F72" i="17"/>
  <c r="E70" i="17"/>
  <c r="E71" i="17"/>
  <c r="E72" i="17"/>
  <c r="C70" i="17"/>
  <c r="C71" i="17"/>
  <c r="C72" i="17"/>
  <c r="B70" i="17"/>
  <c r="B71" i="17"/>
  <c r="B72" i="17"/>
  <c r="U69" i="17"/>
  <c r="T69" i="17"/>
  <c r="S69" i="17"/>
  <c r="R69" i="17"/>
  <c r="Q69" i="17"/>
  <c r="P69" i="17"/>
  <c r="O69" i="17"/>
  <c r="N69" i="17"/>
  <c r="M69" i="17"/>
  <c r="L69" i="17"/>
  <c r="K69" i="17"/>
  <c r="J69" i="17"/>
  <c r="I69" i="17"/>
  <c r="H69" i="17"/>
  <c r="G69" i="17"/>
  <c r="F69" i="17"/>
  <c r="E69" i="17"/>
  <c r="C69" i="17"/>
  <c r="B69" i="17"/>
  <c r="U67" i="17"/>
  <c r="U68" i="17"/>
  <c r="U66" i="17"/>
  <c r="T67" i="17"/>
  <c r="T68" i="17"/>
  <c r="T66" i="17"/>
  <c r="R66" i="17"/>
  <c r="R67" i="17"/>
  <c r="R68" i="17"/>
  <c r="P66" i="17"/>
  <c r="P67" i="17"/>
  <c r="P68" i="17"/>
  <c r="P65" i="17"/>
  <c r="O66" i="17"/>
  <c r="O67" i="17"/>
  <c r="O68" i="17"/>
  <c r="N66" i="17"/>
  <c r="N67" i="17"/>
  <c r="N68" i="17"/>
  <c r="M66" i="17"/>
  <c r="M67" i="17"/>
  <c r="M68" i="17"/>
  <c r="K66" i="17"/>
  <c r="K67" i="17"/>
  <c r="K68" i="17"/>
  <c r="I66" i="17"/>
  <c r="I67" i="17"/>
  <c r="I68" i="17"/>
  <c r="H66" i="17"/>
  <c r="H67" i="17"/>
  <c r="H68" i="17"/>
  <c r="F66" i="17"/>
  <c r="F67" i="17"/>
  <c r="F68" i="17"/>
  <c r="E67" i="17"/>
  <c r="E68" i="17"/>
  <c r="E66" i="17"/>
  <c r="C67" i="17"/>
  <c r="C68" i="17"/>
  <c r="C66" i="17"/>
  <c r="B67" i="17"/>
  <c r="B68" i="17"/>
  <c r="B66" i="17"/>
  <c r="U63" i="17"/>
  <c r="U64" i="17"/>
  <c r="U65" i="17"/>
  <c r="T64" i="17"/>
  <c r="T65" i="17"/>
  <c r="S63" i="17"/>
  <c r="S64" i="17"/>
  <c r="S65" i="17"/>
  <c r="R63" i="17"/>
  <c r="R64" i="17"/>
  <c r="R65" i="17"/>
  <c r="Q63" i="17"/>
  <c r="Q64" i="17"/>
  <c r="Q65" i="17"/>
  <c r="P63" i="17"/>
  <c r="P64" i="17"/>
  <c r="O63" i="17"/>
  <c r="O64" i="17"/>
  <c r="O65" i="17"/>
  <c r="N63" i="17"/>
  <c r="N64" i="17"/>
  <c r="N65" i="17"/>
  <c r="M63" i="17"/>
  <c r="M64" i="17"/>
  <c r="M65" i="17"/>
  <c r="L63" i="17"/>
  <c r="L64" i="17"/>
  <c r="L65" i="17"/>
  <c r="K63" i="17"/>
  <c r="K64" i="17"/>
  <c r="K65" i="17"/>
  <c r="J63" i="17"/>
  <c r="J64" i="17"/>
  <c r="J65" i="17"/>
  <c r="I63" i="17"/>
  <c r="I64" i="17"/>
  <c r="I65" i="17"/>
  <c r="H63" i="17"/>
  <c r="H64" i="17"/>
  <c r="H65" i="17"/>
  <c r="G63" i="17"/>
  <c r="G64" i="17"/>
  <c r="G65" i="17"/>
  <c r="F63" i="17"/>
  <c r="F64" i="17"/>
  <c r="F65" i="17"/>
  <c r="E63" i="17"/>
  <c r="E64" i="17"/>
  <c r="E65" i="17"/>
  <c r="C63" i="17"/>
  <c r="C64" i="17"/>
  <c r="C65" i="17"/>
  <c r="B63" i="17"/>
  <c r="B64" i="17"/>
  <c r="B65" i="17"/>
  <c r="U62" i="17"/>
  <c r="T62" i="17"/>
  <c r="S62" i="17"/>
  <c r="R62" i="17"/>
  <c r="Q62" i="17"/>
  <c r="P62" i="17"/>
  <c r="O62" i="17"/>
  <c r="N62" i="17"/>
  <c r="M62" i="17"/>
  <c r="L62" i="17"/>
  <c r="K62" i="17"/>
  <c r="J62" i="17"/>
  <c r="I62" i="17"/>
  <c r="H62" i="17"/>
  <c r="G62" i="17"/>
  <c r="F62" i="17"/>
  <c r="E62" i="17"/>
  <c r="C62" i="17"/>
  <c r="B62" i="17"/>
  <c r="A74" i="17"/>
  <c r="A75" i="17"/>
  <c r="A73" i="17"/>
  <c r="A68" i="17"/>
  <c r="A72" i="17"/>
  <c r="A70" i="17"/>
  <c r="A71" i="17"/>
  <c r="A69" i="17"/>
  <c r="A65" i="17"/>
  <c r="A67" i="17"/>
  <c r="A66" i="17"/>
  <c r="A63" i="17"/>
  <c r="A64" i="17"/>
  <c r="A62" i="17"/>
  <c r="B52" i="17"/>
  <c r="C52" i="17"/>
  <c r="D52" i="17"/>
  <c r="E52" i="17"/>
  <c r="F52" i="17"/>
  <c r="G52" i="17"/>
  <c r="H52" i="17"/>
  <c r="I52" i="17"/>
  <c r="J52" i="17"/>
  <c r="K52" i="17"/>
  <c r="L52" i="17"/>
  <c r="M52" i="17"/>
  <c r="N52" i="17"/>
  <c r="O52" i="17"/>
  <c r="P52" i="17"/>
  <c r="B53" i="17"/>
  <c r="C53" i="17"/>
  <c r="D53" i="17"/>
  <c r="E53" i="17"/>
  <c r="F53" i="17"/>
  <c r="G53" i="17"/>
  <c r="H53" i="17"/>
  <c r="I53" i="17"/>
  <c r="J53" i="17"/>
  <c r="K53" i="17"/>
  <c r="L53" i="17"/>
  <c r="M53" i="17"/>
  <c r="N53" i="17"/>
  <c r="O53" i="17"/>
  <c r="P53" i="17"/>
  <c r="B54" i="17"/>
  <c r="C54" i="17"/>
  <c r="D54" i="17"/>
  <c r="E54" i="17"/>
  <c r="F54" i="17"/>
  <c r="G54" i="17"/>
  <c r="H54" i="17"/>
  <c r="I54" i="17"/>
  <c r="J54" i="17"/>
  <c r="K54" i="17"/>
  <c r="L54" i="17"/>
  <c r="M54" i="17"/>
  <c r="N54" i="17"/>
  <c r="O54" i="17"/>
  <c r="P54" i="17"/>
  <c r="B55" i="17"/>
  <c r="C55" i="17"/>
  <c r="D55" i="17"/>
  <c r="E55" i="17"/>
  <c r="F55" i="17"/>
  <c r="G55" i="17"/>
  <c r="H55" i="17"/>
  <c r="I55" i="17"/>
  <c r="J55" i="17"/>
  <c r="K55" i="17"/>
  <c r="L55" i="17"/>
  <c r="M55" i="17"/>
  <c r="N55" i="17"/>
  <c r="O55" i="17"/>
  <c r="P55" i="17"/>
  <c r="B56" i="17"/>
  <c r="C56" i="17"/>
  <c r="D56" i="17"/>
  <c r="E56" i="17"/>
  <c r="F56" i="17"/>
  <c r="G56" i="17"/>
  <c r="H56" i="17"/>
  <c r="I56" i="17"/>
  <c r="J56" i="17"/>
  <c r="K56" i="17"/>
  <c r="L56" i="17"/>
  <c r="M56" i="17"/>
  <c r="N56" i="17"/>
  <c r="O56" i="17"/>
  <c r="P56" i="17"/>
  <c r="P51" i="17"/>
  <c r="O51" i="17"/>
  <c r="N51" i="17"/>
  <c r="M51" i="17"/>
  <c r="L51" i="17"/>
  <c r="K51" i="17"/>
  <c r="J51" i="17"/>
  <c r="I51" i="17"/>
  <c r="H51" i="17"/>
  <c r="G51" i="17"/>
  <c r="F51" i="17"/>
  <c r="E51" i="17"/>
  <c r="D51" i="17"/>
  <c r="C51" i="17"/>
  <c r="B51" i="17"/>
  <c r="A52" i="17"/>
  <c r="A53" i="17"/>
  <c r="A54" i="17"/>
  <c r="A55" i="17"/>
  <c r="A56" i="17"/>
  <c r="A51" i="17"/>
  <c r="D29" i="17"/>
  <c r="D28" i="17"/>
  <c r="W12" i="20"/>
  <c r="W13" i="20"/>
  <c r="W14" i="20"/>
  <c r="W15" i="20"/>
  <c r="W16" i="20"/>
  <c r="W17" i="20"/>
  <c r="W18" i="20"/>
  <c r="W19" i="20"/>
  <c r="W20" i="20"/>
  <c r="W21" i="20"/>
  <c r="W22" i="20"/>
  <c r="W23" i="20"/>
  <c r="W24" i="20"/>
  <c r="W25" i="20"/>
  <c r="W26" i="20"/>
  <c r="W27" i="20"/>
  <c r="W28" i="20"/>
  <c r="W29" i="20"/>
  <c r="W30" i="20"/>
  <c r="W31" i="20"/>
  <c r="W32" i="20"/>
  <c r="W33" i="20"/>
  <c r="W34" i="20"/>
  <c r="W35" i="20"/>
  <c r="W36" i="20"/>
  <c r="W37" i="20"/>
  <c r="W38" i="20"/>
  <c r="W11" i="20"/>
  <c r="J31" i="17"/>
  <c r="J32" i="17"/>
  <c r="J33" i="17"/>
  <c r="I31" i="17"/>
  <c r="I32" i="17"/>
  <c r="I33" i="17"/>
  <c r="J30" i="17"/>
  <c r="I30" i="17"/>
  <c r="H30" i="17"/>
  <c r="H31" i="17"/>
  <c r="H32" i="17"/>
  <c r="H33" i="17"/>
  <c r="E30" i="17"/>
  <c r="J28" i="17"/>
  <c r="I28" i="17"/>
  <c r="G31" i="17"/>
  <c r="G32" i="17"/>
  <c r="G33" i="17"/>
  <c r="G30" i="17"/>
  <c r="F31" i="17"/>
  <c r="F32" i="17"/>
  <c r="F33" i="17"/>
  <c r="F30" i="17"/>
  <c r="E31" i="17"/>
  <c r="E32" i="17"/>
  <c r="E33" i="17"/>
  <c r="D31" i="17"/>
  <c r="D32" i="17"/>
  <c r="D33" i="17"/>
  <c r="D30" i="17"/>
  <c r="C31" i="17"/>
  <c r="C32" i="17"/>
  <c r="C33" i="17"/>
  <c r="C30" i="17"/>
  <c r="B30" i="17"/>
  <c r="B31" i="17"/>
  <c r="B32" i="17"/>
  <c r="B33" i="17"/>
  <c r="G29" i="17"/>
  <c r="G28" i="17"/>
  <c r="F29" i="17"/>
  <c r="F28" i="17"/>
  <c r="E29" i="17"/>
  <c r="E28" i="17"/>
  <c r="C29" i="17"/>
  <c r="C28" i="17"/>
  <c r="B29" i="17"/>
  <c r="B28" i="17"/>
  <c r="E953" i="12"/>
  <c r="E938" i="12"/>
  <c r="E923" i="12"/>
  <c r="E908" i="12"/>
  <c r="E885" i="12"/>
  <c r="E870" i="12"/>
  <c r="E855" i="12"/>
  <c r="E922" i="12" l="1"/>
  <c r="E924" i="12" s="1"/>
  <c r="E952" i="12"/>
  <c r="E965" i="12"/>
  <c r="W40" i="20"/>
  <c r="C15" i="17" s="1"/>
  <c r="E937" i="12"/>
  <c r="E939" i="12" s="1"/>
  <c r="E907" i="12"/>
  <c r="E854" i="12"/>
  <c r="E869" i="12"/>
  <c r="E871" i="12" s="1"/>
  <c r="O157" i="12" s="1"/>
  <c r="I23" i="17" s="1"/>
  <c r="E884" i="12"/>
  <c r="R47" i="17"/>
  <c r="R46" i="17"/>
  <c r="R45" i="17"/>
  <c r="R44" i="17"/>
  <c r="R43" i="17"/>
  <c r="R42" i="17"/>
  <c r="R41" i="17"/>
  <c r="R40" i="17"/>
  <c r="R39" i="17"/>
  <c r="Q47" i="17"/>
  <c r="Q46" i="17"/>
  <c r="Q45" i="17"/>
  <c r="Q44" i="17"/>
  <c r="Q43" i="17"/>
  <c r="Q42" i="17"/>
  <c r="Q41" i="17"/>
  <c r="Q40" i="17"/>
  <c r="Q39" i="17"/>
  <c r="P47" i="17"/>
  <c r="P46" i="17"/>
  <c r="P45" i="17"/>
  <c r="P44" i="17"/>
  <c r="P43" i="17"/>
  <c r="P42" i="17"/>
  <c r="P41" i="17"/>
  <c r="P40" i="17"/>
  <c r="P39" i="17"/>
  <c r="R38" i="17"/>
  <c r="Q38" i="17"/>
  <c r="P38" i="17"/>
  <c r="R37" i="17"/>
  <c r="Q37" i="17"/>
  <c r="P37" i="17"/>
  <c r="N47" i="17"/>
  <c r="N46" i="17"/>
  <c r="N45" i="17"/>
  <c r="N43" i="17"/>
  <c r="N41" i="17"/>
  <c r="N39" i="17"/>
  <c r="N37" i="17"/>
  <c r="R36" i="17"/>
  <c r="Q36" i="17"/>
  <c r="P36" i="17"/>
  <c r="R35" i="17"/>
  <c r="P35" i="17"/>
  <c r="L36" i="17"/>
  <c r="K36" i="17"/>
  <c r="J36" i="17"/>
  <c r="L35" i="17"/>
  <c r="J35" i="17"/>
  <c r="D47" i="17"/>
  <c r="F46" i="17"/>
  <c r="E46" i="17"/>
  <c r="D46" i="17"/>
  <c r="A47" i="17"/>
  <c r="C6" i="17"/>
  <c r="C383" i="12"/>
  <c r="C8" i="20"/>
  <c r="G369" i="12"/>
  <c r="K88" i="19" s="1"/>
  <c r="I369" i="12"/>
  <c r="O88" i="19" s="1"/>
  <c r="E369" i="12"/>
  <c r="G88" i="19" s="1"/>
  <c r="E276" i="12"/>
  <c r="G75" i="19" s="1"/>
  <c r="D134" i="25" s="1"/>
  <c r="I276" i="12"/>
  <c r="O75" i="19" s="1"/>
  <c r="D138" i="25" s="1"/>
  <c r="K75" i="19"/>
  <c r="D136" i="25" s="1"/>
  <c r="I146" i="12"/>
  <c r="E20" i="5"/>
  <c r="E19" i="5"/>
  <c r="C520" i="12"/>
  <c r="C535" i="12"/>
  <c r="C673" i="12"/>
  <c r="C688" i="12"/>
  <c r="C703" i="12"/>
  <c r="I8" i="5"/>
  <c r="K8" i="5"/>
  <c r="M8" i="5"/>
  <c r="O8" i="5"/>
  <c r="O3" i="5"/>
  <c r="H8" i="20" s="1"/>
  <c r="N7" i="5"/>
  <c r="N6" i="5"/>
  <c r="L6" i="5"/>
  <c r="I8" i="20" s="1"/>
  <c r="N5" i="5"/>
  <c r="G8" i="20"/>
  <c r="L365" i="12"/>
  <c r="C361" i="12"/>
  <c r="C362" i="12"/>
  <c r="C551" i="12"/>
  <c r="L705" i="12"/>
  <c r="C702" i="12"/>
  <c r="L690" i="12"/>
  <c r="C687" i="12"/>
  <c r="L675" i="12"/>
  <c r="C672" i="12"/>
  <c r="L660" i="12"/>
  <c r="C654" i="12"/>
  <c r="L645" i="12"/>
  <c r="L630" i="12"/>
  <c r="L615" i="12"/>
  <c r="I610" i="12"/>
  <c r="L600" i="12"/>
  <c r="L585" i="12"/>
  <c r="L570" i="12"/>
  <c r="G566" i="12"/>
  <c r="G581" i="12" s="1"/>
  <c r="G596" i="12" s="1"/>
  <c r="G611" i="12" s="1"/>
  <c r="G626" i="12" s="1"/>
  <c r="G641" i="12" s="1"/>
  <c r="G656" i="12" s="1"/>
  <c r="G671" i="12" s="1"/>
  <c r="G686" i="12" s="1"/>
  <c r="G701" i="12" s="1"/>
  <c r="I566" i="12"/>
  <c r="I581" i="12" s="1"/>
  <c r="I596" i="12" s="1"/>
  <c r="I611" i="12" s="1"/>
  <c r="G606" i="12"/>
  <c r="G621" i="12" s="1"/>
  <c r="G636" i="12" s="1"/>
  <c r="G651" i="12" s="1"/>
  <c r="G666" i="12" s="1"/>
  <c r="G681" i="12" s="1"/>
  <c r="G696" i="12" s="1"/>
  <c r="E606" i="12"/>
  <c r="E621" i="12" s="1"/>
  <c r="E636" i="12" s="1"/>
  <c r="E651" i="12" s="1"/>
  <c r="E666" i="12" s="1"/>
  <c r="E681" i="12" s="1"/>
  <c r="E696" i="12" s="1"/>
  <c r="L555" i="12"/>
  <c r="G413" i="12"/>
  <c r="G428" i="12" s="1"/>
  <c r="G443" i="12" s="1"/>
  <c r="G458" i="12" s="1"/>
  <c r="G473" i="12" s="1"/>
  <c r="G488" i="12" s="1"/>
  <c r="G503" i="12" s="1"/>
  <c r="G518" i="12" s="1"/>
  <c r="G533" i="12" s="1"/>
  <c r="C10" i="11"/>
  <c r="T81" i="17"/>
  <c r="D37" i="11"/>
  <c r="D38" i="11"/>
  <c r="D39" i="11"/>
  <c r="D36" i="11"/>
  <c r="D24" i="11"/>
  <c r="D25" i="11"/>
  <c r="D26" i="11"/>
  <c r="D23" i="11"/>
  <c r="D11" i="11"/>
  <c r="D12" i="11"/>
  <c r="D13" i="11"/>
  <c r="D10" i="11"/>
  <c r="B5" i="11"/>
  <c r="B4" i="11"/>
  <c r="C39" i="11"/>
  <c r="C38" i="11"/>
  <c r="C37" i="11"/>
  <c r="E37" i="11" s="1"/>
  <c r="C36" i="11"/>
  <c r="C26" i="11"/>
  <c r="C25" i="11"/>
  <c r="C24" i="11"/>
  <c r="C23" i="11"/>
  <c r="C12" i="11"/>
  <c r="C13" i="11"/>
  <c r="C11" i="11"/>
  <c r="E60" i="10"/>
  <c r="F60" i="10"/>
  <c r="G60" i="10"/>
  <c r="E61" i="10"/>
  <c r="F61" i="10"/>
  <c r="G61" i="10"/>
  <c r="E62" i="10"/>
  <c r="F62" i="10"/>
  <c r="G62" i="10"/>
  <c r="E63" i="10"/>
  <c r="F63" i="10"/>
  <c r="G63" i="10"/>
  <c r="E64" i="10"/>
  <c r="F64" i="10"/>
  <c r="G64" i="10"/>
  <c r="E65" i="10"/>
  <c r="F65" i="10"/>
  <c r="G65" i="10"/>
  <c r="D61" i="10"/>
  <c r="D62" i="10"/>
  <c r="D63" i="10"/>
  <c r="D64" i="10"/>
  <c r="D65" i="10"/>
  <c r="D60" i="10"/>
  <c r="B61" i="10"/>
  <c r="B62" i="10"/>
  <c r="B63" i="10"/>
  <c r="C63" i="10" s="1"/>
  <c r="B64" i="10"/>
  <c r="C64" i="10" s="1"/>
  <c r="B65" i="10"/>
  <c r="C65" i="10" s="1"/>
  <c r="B60" i="10"/>
  <c r="G55" i="10"/>
  <c r="E55" i="10"/>
  <c r="E38" i="10"/>
  <c r="F38" i="10"/>
  <c r="G38" i="10"/>
  <c r="E39" i="10"/>
  <c r="F39" i="10"/>
  <c r="G39" i="10"/>
  <c r="E40" i="10"/>
  <c r="F40" i="10"/>
  <c r="G40" i="10"/>
  <c r="E41" i="10"/>
  <c r="F41" i="10"/>
  <c r="G41" i="10"/>
  <c r="E42" i="10"/>
  <c r="F42" i="10"/>
  <c r="G42" i="10"/>
  <c r="E43" i="10"/>
  <c r="F43" i="10"/>
  <c r="G43" i="10"/>
  <c r="D39" i="10"/>
  <c r="D40" i="10"/>
  <c r="D41" i="10"/>
  <c r="D42" i="10"/>
  <c r="D43" i="10"/>
  <c r="D38" i="10"/>
  <c r="B39" i="10"/>
  <c r="B40" i="10"/>
  <c r="B41" i="10"/>
  <c r="C41" i="10" s="1"/>
  <c r="B42" i="10"/>
  <c r="C42" i="10" s="1"/>
  <c r="B43" i="10"/>
  <c r="C43" i="10" s="1"/>
  <c r="B38" i="10"/>
  <c r="G33" i="10"/>
  <c r="E33" i="10"/>
  <c r="E16" i="10"/>
  <c r="F16" i="10"/>
  <c r="G16" i="10"/>
  <c r="E17" i="10"/>
  <c r="F17" i="10"/>
  <c r="G17" i="10"/>
  <c r="E18" i="10"/>
  <c r="F18" i="10"/>
  <c r="G18" i="10"/>
  <c r="E19" i="10"/>
  <c r="F19" i="10"/>
  <c r="G19" i="10"/>
  <c r="E20" i="10"/>
  <c r="F20" i="10"/>
  <c r="G20" i="10"/>
  <c r="E21" i="10"/>
  <c r="F21" i="10"/>
  <c r="G21" i="10"/>
  <c r="D17" i="10"/>
  <c r="D18" i="10"/>
  <c r="D19" i="10"/>
  <c r="D20" i="10"/>
  <c r="D21" i="10"/>
  <c r="D16" i="10"/>
  <c r="B17" i="10"/>
  <c r="B18" i="10"/>
  <c r="B19" i="10"/>
  <c r="C19" i="10" s="1"/>
  <c r="B20" i="10"/>
  <c r="C20" i="10" s="1"/>
  <c r="B21" i="10"/>
  <c r="C21" i="10" s="1"/>
  <c r="B16" i="10"/>
  <c r="G11" i="10"/>
  <c r="E11" i="10"/>
  <c r="G61" i="9"/>
  <c r="G62" i="9"/>
  <c r="G63" i="9"/>
  <c r="G64" i="9"/>
  <c r="G65" i="9"/>
  <c r="G60" i="9"/>
  <c r="F61" i="9"/>
  <c r="F62" i="9"/>
  <c r="F63" i="9"/>
  <c r="F64" i="9"/>
  <c r="F65" i="9"/>
  <c r="F60" i="9"/>
  <c r="E61" i="9"/>
  <c r="E62" i="9"/>
  <c r="E63" i="9"/>
  <c r="E64" i="9"/>
  <c r="E65" i="9"/>
  <c r="E60" i="9"/>
  <c r="D61" i="9"/>
  <c r="D62" i="9"/>
  <c r="D63" i="9"/>
  <c r="D64" i="9"/>
  <c r="D65" i="9"/>
  <c r="D60" i="9"/>
  <c r="B61" i="9"/>
  <c r="B62" i="9"/>
  <c r="B63" i="9"/>
  <c r="B64" i="9"/>
  <c r="B65" i="9"/>
  <c r="B60" i="9"/>
  <c r="G55" i="9"/>
  <c r="E55" i="9"/>
  <c r="E38" i="9"/>
  <c r="F38" i="9"/>
  <c r="G38" i="9"/>
  <c r="E39" i="9"/>
  <c r="F39" i="9"/>
  <c r="G39" i="9"/>
  <c r="E40" i="9"/>
  <c r="F40" i="9"/>
  <c r="G40" i="9"/>
  <c r="E41" i="9"/>
  <c r="F41" i="9"/>
  <c r="G41" i="9"/>
  <c r="E42" i="9"/>
  <c r="F42" i="9"/>
  <c r="G42" i="9"/>
  <c r="E43" i="9"/>
  <c r="F43" i="9"/>
  <c r="G43" i="9"/>
  <c r="D39" i="9"/>
  <c r="D40" i="9"/>
  <c r="D41" i="9"/>
  <c r="D42" i="9"/>
  <c r="D43" i="9"/>
  <c r="D38" i="9"/>
  <c r="B39" i="9"/>
  <c r="B40" i="9"/>
  <c r="B41" i="9"/>
  <c r="B42" i="9"/>
  <c r="B43" i="9"/>
  <c r="B38" i="9"/>
  <c r="G33" i="9"/>
  <c r="E33" i="9"/>
  <c r="E16" i="9"/>
  <c r="F16" i="9"/>
  <c r="G16" i="9"/>
  <c r="E17" i="9"/>
  <c r="F17" i="9"/>
  <c r="G17" i="9"/>
  <c r="E18" i="9"/>
  <c r="F18" i="9"/>
  <c r="G18" i="9"/>
  <c r="E19" i="9"/>
  <c r="F19" i="9"/>
  <c r="G19" i="9"/>
  <c r="E20" i="9"/>
  <c r="F20" i="9"/>
  <c r="G20" i="9"/>
  <c r="E21" i="9"/>
  <c r="F21" i="9"/>
  <c r="G21" i="9"/>
  <c r="D17" i="9"/>
  <c r="D18" i="9"/>
  <c r="D19" i="9"/>
  <c r="D20" i="9"/>
  <c r="D21" i="9"/>
  <c r="D16" i="9"/>
  <c r="B17" i="9"/>
  <c r="B18" i="9"/>
  <c r="B19" i="9"/>
  <c r="B20" i="9"/>
  <c r="B21" i="9"/>
  <c r="B16" i="9"/>
  <c r="G11" i="9"/>
  <c r="E11" i="9"/>
  <c r="I19" i="17" l="1"/>
  <c r="C408" i="12"/>
  <c r="E393" i="12"/>
  <c r="I626" i="12"/>
  <c r="I641" i="12" s="1"/>
  <c r="I656" i="12" s="1"/>
  <c r="I671" i="12" s="1"/>
  <c r="I686" i="12" s="1"/>
  <c r="I701" i="12" s="1"/>
  <c r="E11" i="11"/>
  <c r="E654" i="12"/>
  <c r="G654" i="12"/>
  <c r="E24" i="11"/>
  <c r="I10" i="17"/>
  <c r="E39" i="11"/>
  <c r="E26" i="11"/>
  <c r="E909" i="12"/>
  <c r="E23" i="11"/>
  <c r="E36" i="11"/>
  <c r="E10" i="11"/>
  <c r="E13" i="11"/>
  <c r="E25" i="11"/>
  <c r="E38" i="11"/>
  <c r="E12" i="11"/>
  <c r="I625" i="12"/>
  <c r="C363" i="12"/>
  <c r="I360" i="12"/>
  <c r="I3" i="5"/>
  <c r="P4" i="5"/>
  <c r="K8" i="20" s="1"/>
  <c r="E886" i="12"/>
  <c r="E856" i="12"/>
  <c r="N38" i="17"/>
  <c r="N42" i="17"/>
  <c r="N40" i="17"/>
  <c r="N44" i="17"/>
  <c r="C642" i="12"/>
  <c r="C643" i="12" s="1"/>
  <c r="C612" i="12"/>
  <c r="C552" i="12"/>
  <c r="C553" i="12" s="1"/>
  <c r="C566" i="12"/>
  <c r="C582" i="12"/>
  <c r="I9" i="17"/>
  <c r="C567" i="12"/>
  <c r="C568" i="12" s="1"/>
  <c r="C597" i="12"/>
  <c r="T79" i="17"/>
  <c r="Q11" i="17"/>
  <c r="R11" i="17"/>
  <c r="S11" i="17"/>
  <c r="T11" i="17"/>
  <c r="U11" i="17"/>
  <c r="S22" i="17"/>
  <c r="T22" i="17"/>
  <c r="U22" i="17"/>
  <c r="S23" i="17"/>
  <c r="T23" i="17"/>
  <c r="U23" i="17"/>
  <c r="S24" i="17"/>
  <c r="T24" i="17"/>
  <c r="U24" i="17"/>
  <c r="S25" i="17"/>
  <c r="T25" i="17"/>
  <c r="U25" i="17"/>
  <c r="S26" i="17"/>
  <c r="T26" i="17"/>
  <c r="U26" i="17"/>
  <c r="S27" i="17"/>
  <c r="T27" i="17"/>
  <c r="U27" i="17"/>
  <c r="R23" i="17"/>
  <c r="R24" i="17"/>
  <c r="R25" i="17"/>
  <c r="R26" i="17"/>
  <c r="R27" i="17"/>
  <c r="R22" i="17"/>
  <c r="Q23" i="17"/>
  <c r="Q24" i="17"/>
  <c r="Q25" i="17"/>
  <c r="Q26" i="17"/>
  <c r="Q27" i="17"/>
  <c r="Q22" i="17"/>
  <c r="S14" i="17"/>
  <c r="T14" i="17"/>
  <c r="U14" i="17"/>
  <c r="S15" i="17"/>
  <c r="T15" i="17"/>
  <c r="U15" i="17"/>
  <c r="S16" i="17"/>
  <c r="T16" i="17"/>
  <c r="U16" i="17"/>
  <c r="S17" i="17"/>
  <c r="T17" i="17"/>
  <c r="U17" i="17"/>
  <c r="S18" i="17"/>
  <c r="T18" i="17"/>
  <c r="U18" i="17"/>
  <c r="S19" i="17"/>
  <c r="T19" i="17"/>
  <c r="U19" i="17"/>
  <c r="R15" i="17"/>
  <c r="R16" i="17"/>
  <c r="R17" i="17"/>
  <c r="R18" i="17"/>
  <c r="R19" i="17"/>
  <c r="R14" i="17"/>
  <c r="Q15" i="17"/>
  <c r="Q16" i="17"/>
  <c r="Q17" i="17"/>
  <c r="Q18" i="17"/>
  <c r="Q19" i="17"/>
  <c r="Q14" i="17"/>
  <c r="S6" i="17"/>
  <c r="T6" i="17"/>
  <c r="U6" i="17"/>
  <c r="S7" i="17"/>
  <c r="T7" i="17"/>
  <c r="U7" i="17"/>
  <c r="S8" i="17"/>
  <c r="T8" i="17"/>
  <c r="U8" i="17"/>
  <c r="S9" i="17"/>
  <c r="T9" i="17"/>
  <c r="U9" i="17"/>
  <c r="S10" i="17"/>
  <c r="T10" i="17"/>
  <c r="U10" i="17"/>
  <c r="R7" i="17"/>
  <c r="R8" i="17"/>
  <c r="R9" i="17"/>
  <c r="R10" i="17"/>
  <c r="R6" i="17"/>
  <c r="Q7" i="17"/>
  <c r="Q8" i="17"/>
  <c r="Q9" i="17"/>
  <c r="Q10" i="17"/>
  <c r="Q6" i="17"/>
  <c r="T4" i="17"/>
  <c r="R4" i="17"/>
  <c r="M23" i="17"/>
  <c r="N23" i="17"/>
  <c r="O23" i="17"/>
  <c r="P23" i="17"/>
  <c r="M24" i="17"/>
  <c r="N24" i="17"/>
  <c r="O24" i="17"/>
  <c r="P24" i="17"/>
  <c r="M25" i="17"/>
  <c r="N25" i="17"/>
  <c r="O25" i="17"/>
  <c r="P25" i="17"/>
  <c r="M26" i="17"/>
  <c r="N26" i="17"/>
  <c r="O26" i="17"/>
  <c r="P26" i="17"/>
  <c r="M27" i="17"/>
  <c r="N27" i="17"/>
  <c r="O27" i="17"/>
  <c r="P27" i="17"/>
  <c r="N22" i="17"/>
  <c r="O22" i="17"/>
  <c r="P22" i="17"/>
  <c r="M22" i="17"/>
  <c r="L23" i="17"/>
  <c r="L24" i="17"/>
  <c r="L25" i="17"/>
  <c r="L26" i="17"/>
  <c r="L27" i="17"/>
  <c r="L22" i="17"/>
  <c r="N15" i="17"/>
  <c r="O15" i="17"/>
  <c r="P15" i="17"/>
  <c r="N16" i="17"/>
  <c r="O16" i="17"/>
  <c r="P16" i="17"/>
  <c r="N17" i="17"/>
  <c r="O17" i="17"/>
  <c r="P17" i="17"/>
  <c r="N18" i="17"/>
  <c r="O18" i="17"/>
  <c r="P18" i="17"/>
  <c r="N19" i="17"/>
  <c r="O19" i="17"/>
  <c r="P19" i="17"/>
  <c r="M15" i="17"/>
  <c r="M16" i="17"/>
  <c r="M17" i="17"/>
  <c r="M18" i="17"/>
  <c r="M19" i="17"/>
  <c r="L15" i="17"/>
  <c r="L16" i="17"/>
  <c r="L17" i="17"/>
  <c r="L18" i="17"/>
  <c r="L19" i="17"/>
  <c r="L14" i="17"/>
  <c r="L7" i="17"/>
  <c r="L8" i="17"/>
  <c r="L9" i="17"/>
  <c r="L10" i="17"/>
  <c r="L11" i="17"/>
  <c r="L6" i="17"/>
  <c r="N14" i="17"/>
  <c r="O14" i="17"/>
  <c r="P14" i="17"/>
  <c r="M14" i="17"/>
  <c r="N6" i="17"/>
  <c r="O6" i="17"/>
  <c r="P6" i="17"/>
  <c r="N7" i="17"/>
  <c r="O7" i="17"/>
  <c r="P7" i="17"/>
  <c r="N8" i="17"/>
  <c r="O8" i="17"/>
  <c r="P8" i="17"/>
  <c r="N9" i="17"/>
  <c r="O9" i="17"/>
  <c r="P9" i="17"/>
  <c r="N10" i="17"/>
  <c r="O10" i="17"/>
  <c r="P10" i="17"/>
  <c r="N11" i="17"/>
  <c r="O11" i="17"/>
  <c r="P11" i="17"/>
  <c r="M7" i="17"/>
  <c r="M8" i="17"/>
  <c r="M9" i="17"/>
  <c r="M10" i="17"/>
  <c r="M11" i="17"/>
  <c r="M6" i="17"/>
  <c r="O4" i="17"/>
  <c r="M4" i="17"/>
  <c r="H47" i="17"/>
  <c r="H46" i="17"/>
  <c r="H45" i="17"/>
  <c r="H43" i="17"/>
  <c r="H41" i="17"/>
  <c r="H39" i="17"/>
  <c r="H37" i="17"/>
  <c r="L47" i="17"/>
  <c r="K47" i="17"/>
  <c r="J47" i="17"/>
  <c r="L46" i="17"/>
  <c r="K46" i="17"/>
  <c r="J46" i="17"/>
  <c r="L45" i="17"/>
  <c r="K45" i="17"/>
  <c r="J45" i="17"/>
  <c r="L44" i="17"/>
  <c r="K44" i="17"/>
  <c r="J44" i="17"/>
  <c r="L43" i="17"/>
  <c r="K43" i="17"/>
  <c r="J43" i="17"/>
  <c r="L42" i="17"/>
  <c r="K42" i="17"/>
  <c r="J42" i="17"/>
  <c r="L41" i="17"/>
  <c r="K41" i="17"/>
  <c r="J41" i="17"/>
  <c r="L40" i="17"/>
  <c r="K40" i="17"/>
  <c r="J40" i="17"/>
  <c r="L39" i="17"/>
  <c r="K39" i="17"/>
  <c r="J39" i="17"/>
  <c r="L38" i="17"/>
  <c r="K38" i="17"/>
  <c r="J38" i="17"/>
  <c r="K37" i="17"/>
  <c r="L37" i="17"/>
  <c r="J37" i="17"/>
  <c r="A45" i="17"/>
  <c r="A43" i="17"/>
  <c r="A41" i="17"/>
  <c r="A39" i="17"/>
  <c r="A37" i="17"/>
  <c r="D45" i="17"/>
  <c r="F44" i="17"/>
  <c r="E44" i="17"/>
  <c r="D44" i="17"/>
  <c r="D43" i="17"/>
  <c r="F42" i="17"/>
  <c r="E42" i="17"/>
  <c r="D42" i="17"/>
  <c r="D41" i="17"/>
  <c r="F40" i="17"/>
  <c r="E40" i="17"/>
  <c r="D40" i="17"/>
  <c r="D39" i="17"/>
  <c r="F38" i="17"/>
  <c r="E38" i="17"/>
  <c r="D38" i="17"/>
  <c r="E36" i="17"/>
  <c r="F36" i="17"/>
  <c r="D36" i="17"/>
  <c r="J16" i="17"/>
  <c r="J15" i="17"/>
  <c r="I16" i="17"/>
  <c r="I15" i="17"/>
  <c r="I7" i="17"/>
  <c r="I6" i="17"/>
  <c r="C20" i="17"/>
  <c r="C17" i="17"/>
  <c r="O156" i="12" l="1"/>
  <c r="I22" i="17" s="1"/>
  <c r="O158" i="12"/>
  <c r="I24" i="17" s="1"/>
  <c r="G393" i="12"/>
  <c r="G408" i="12" s="1"/>
  <c r="G423" i="12" s="1"/>
  <c r="G438" i="12" s="1"/>
  <c r="G453" i="12" s="1"/>
  <c r="G468" i="12" s="1"/>
  <c r="G483" i="12" s="1"/>
  <c r="G498" i="12" s="1"/>
  <c r="G513" i="12" s="1"/>
  <c r="G528" i="12" s="1"/>
  <c r="M2" i="5" s="1"/>
  <c r="E408" i="12"/>
  <c r="E423" i="12" s="1"/>
  <c r="E438" i="12" s="1"/>
  <c r="E453" i="12" s="1"/>
  <c r="E468" i="12" s="1"/>
  <c r="E483" i="12" s="1"/>
  <c r="E498" i="12" s="1"/>
  <c r="E513" i="12" s="1"/>
  <c r="E528" i="12" s="1"/>
  <c r="K2" i="5" s="1"/>
  <c r="C657" i="12"/>
  <c r="C658" i="12" s="1"/>
  <c r="E360" i="12"/>
  <c r="C627" i="12"/>
  <c r="E625" i="12" s="1"/>
  <c r="E502" i="12"/>
  <c r="E700" i="12"/>
  <c r="E685" i="12"/>
  <c r="E532" i="12"/>
  <c r="E670" i="12"/>
  <c r="E517" i="12"/>
  <c r="E640" i="12"/>
  <c r="E595" i="12"/>
  <c r="E550" i="12"/>
  <c r="E610" i="12"/>
  <c r="E580" i="12"/>
  <c r="E565" i="12"/>
  <c r="E285" i="12"/>
  <c r="C613" i="12"/>
  <c r="C583" i="12"/>
  <c r="C598" i="12"/>
  <c r="C581" i="12"/>
  <c r="I8" i="17"/>
  <c r="E28" i="5"/>
  <c r="C2" i="16" s="1"/>
  <c r="B14" i="14"/>
  <c r="B13" i="14"/>
  <c r="C289" i="12"/>
  <c r="P159" i="12"/>
  <c r="L537" i="12"/>
  <c r="L522" i="12"/>
  <c r="L507" i="12"/>
  <c r="L492" i="12"/>
  <c r="L477" i="12"/>
  <c r="L462" i="12"/>
  <c r="L447" i="12"/>
  <c r="L432" i="12"/>
  <c r="L417" i="12"/>
  <c r="L402" i="12"/>
  <c r="L387" i="12"/>
  <c r="L350" i="12"/>
  <c r="L320" i="12"/>
  <c r="L305" i="12"/>
  <c r="L290" i="12"/>
  <c r="E53" i="5"/>
  <c r="E52" i="5"/>
  <c r="E43" i="5"/>
  <c r="E42" i="5"/>
  <c r="I20" i="17" l="1"/>
  <c r="I18" i="17"/>
  <c r="E655" i="12"/>
  <c r="C628" i="12"/>
  <c r="P8" i="5"/>
  <c r="C606" i="12"/>
  <c r="C621" i="12" s="1"/>
  <c r="C596" i="12"/>
  <c r="C288" i="12"/>
  <c r="E304" i="12"/>
  <c r="A38" i="17" s="1"/>
  <c r="E22" i="5"/>
  <c r="E21" i="5"/>
  <c r="C534" i="12"/>
  <c r="C504" i="12"/>
  <c r="H44" i="17"/>
  <c r="C456" i="12"/>
  <c r="H40" i="17"/>
  <c r="G396" i="12"/>
  <c r="I398" i="12"/>
  <c r="I413" i="12" s="1"/>
  <c r="K35" i="9"/>
  <c r="E8" i="5"/>
  <c r="C347" i="12"/>
  <c r="E345" i="12" s="1"/>
  <c r="C346" i="12"/>
  <c r="C332" i="12"/>
  <c r="E330" i="12" s="1"/>
  <c r="C331" i="12"/>
  <c r="C317" i="12"/>
  <c r="E315" i="12" s="1"/>
  <c r="C316" i="12"/>
  <c r="E300" i="12"/>
  <c r="C301" i="12"/>
  <c r="C304" i="12" s="1"/>
  <c r="E50" i="5"/>
  <c r="E40" i="5"/>
  <c r="P141" i="12"/>
  <c r="I149" i="12"/>
  <c r="E54" i="5"/>
  <c r="C2" i="14" s="1"/>
  <c r="E44" i="5"/>
  <c r="C2" i="15" s="1"/>
  <c r="C52" i="10"/>
  <c r="C51" i="10"/>
  <c r="C50" i="10"/>
  <c r="C30" i="10"/>
  <c r="C29" i="10"/>
  <c r="C28" i="10"/>
  <c r="C6" i="10"/>
  <c r="C6" i="9"/>
  <c r="C16" i="9" s="1"/>
  <c r="C28" i="9"/>
  <c r="C38" i="9" s="1"/>
  <c r="C8" i="10"/>
  <c r="C7" i="10"/>
  <c r="C52" i="9"/>
  <c r="C51" i="9"/>
  <c r="C50" i="9"/>
  <c r="C30" i="9"/>
  <c r="C29" i="9"/>
  <c r="C8" i="9"/>
  <c r="C7" i="9"/>
  <c r="E6" i="5"/>
  <c r="I2" i="15" l="1"/>
  <c r="I442" i="12"/>
  <c r="K6" i="5" s="1"/>
  <c r="H42" i="17"/>
  <c r="C505" i="12"/>
  <c r="O6" i="5"/>
  <c r="E65" i="5" s="1"/>
  <c r="C38" i="10"/>
  <c r="C40" i="10"/>
  <c r="C39" i="10"/>
  <c r="C17" i="10"/>
  <c r="C16" i="10"/>
  <c r="C18" i="10"/>
  <c r="C60" i="10"/>
  <c r="C61" i="10"/>
  <c r="C62" i="10"/>
  <c r="I428" i="12"/>
  <c r="I443" i="12" s="1"/>
  <c r="I458" i="12" s="1"/>
  <c r="I473" i="12" s="1"/>
  <c r="I488" i="12" s="1"/>
  <c r="I503" i="12" s="1"/>
  <c r="I518" i="12" s="1"/>
  <c r="I533" i="12" s="1"/>
  <c r="O4" i="5" s="1"/>
  <c r="J8" i="20" s="1"/>
  <c r="C611" i="12"/>
  <c r="C333" i="12"/>
  <c r="C348" i="12"/>
  <c r="C318" i="12"/>
  <c r="C303" i="12"/>
  <c r="E396" i="12"/>
  <c r="H38" i="17"/>
  <c r="C474" i="12"/>
  <c r="E472" i="12" s="1"/>
  <c r="E456" i="12"/>
  <c r="G426" i="12"/>
  <c r="M3" i="5" s="1"/>
  <c r="E319" i="12"/>
  <c r="A40" i="17" s="1"/>
  <c r="G456" i="12"/>
  <c r="C384" i="12"/>
  <c r="C423" i="12"/>
  <c r="C438" i="12" s="1"/>
  <c r="C398" i="12"/>
  <c r="C444" i="12"/>
  <c r="C445" i="12" s="1"/>
  <c r="C414" i="12"/>
  <c r="E412" i="12" s="1"/>
  <c r="C60" i="9"/>
  <c r="C53" i="10"/>
  <c r="C9" i="10"/>
  <c r="E35" i="5"/>
  <c r="C1" i="16" s="1"/>
  <c r="K10" i="16" s="1"/>
  <c r="E33" i="5"/>
  <c r="E32" i="5"/>
  <c r="E7" i="5"/>
  <c r="C9" i="9"/>
  <c r="C10" i="9" s="1"/>
  <c r="D40" i="11"/>
  <c r="D27" i="11"/>
  <c r="D14" i="11"/>
  <c r="B18" i="11"/>
  <c r="B31" i="11" s="1"/>
  <c r="B17" i="11"/>
  <c r="B30" i="11" s="1"/>
  <c r="R62" i="10"/>
  <c r="O35" i="10"/>
  <c r="R40" i="10"/>
  <c r="R38" i="10"/>
  <c r="R18" i="10"/>
  <c r="R16" i="10"/>
  <c r="O13" i="10"/>
  <c r="K13" i="10"/>
  <c r="R40" i="9"/>
  <c r="R38" i="9"/>
  <c r="C31" i="9"/>
  <c r="C21" i="9"/>
  <c r="C20" i="9"/>
  <c r="R18" i="9"/>
  <c r="R16" i="9"/>
  <c r="O13" i="9"/>
  <c r="K13" i="9"/>
  <c r="C19" i="9"/>
  <c r="C319" i="12" l="1"/>
  <c r="E442" i="12"/>
  <c r="C399" i="12"/>
  <c r="E397" i="12" s="1"/>
  <c r="K3" i="5"/>
  <c r="C385" i="12"/>
  <c r="E382" i="12"/>
  <c r="I457" i="12"/>
  <c r="L8" i="20"/>
  <c r="C415" i="12"/>
  <c r="C475" i="12"/>
  <c r="C400" i="12"/>
  <c r="C453" i="12"/>
  <c r="C468" i="12" s="1"/>
  <c r="C626" i="12"/>
  <c r="C636" i="12"/>
  <c r="C459" i="12"/>
  <c r="E457" i="12" s="1"/>
  <c r="E40" i="11"/>
  <c r="E27" i="11"/>
  <c r="E14" i="11"/>
  <c r="C489" i="12"/>
  <c r="E487" i="12" s="1"/>
  <c r="C429" i="12"/>
  <c r="E427" i="12" s="1"/>
  <c r="K5" i="5" s="1"/>
  <c r="G21" i="16"/>
  <c r="E21" i="16"/>
  <c r="C21" i="16"/>
  <c r="I21" i="16"/>
  <c r="C10" i="16"/>
  <c r="E10" i="16"/>
  <c r="D10" i="16"/>
  <c r="I10" i="16"/>
  <c r="M10" i="16"/>
  <c r="H10" i="16"/>
  <c r="N10" i="16"/>
  <c r="G10" i="16"/>
  <c r="F10" i="16"/>
  <c r="J10" i="16"/>
  <c r="L10" i="16"/>
  <c r="E334" i="12"/>
  <c r="C334" i="12" s="1"/>
  <c r="C63" i="9"/>
  <c r="C41" i="9"/>
  <c r="C62" i="9"/>
  <c r="C40" i="9"/>
  <c r="C61" i="9"/>
  <c r="C39" i="9"/>
  <c r="C65" i="9"/>
  <c r="C43" i="9"/>
  <c r="C64" i="9"/>
  <c r="C42" i="9"/>
  <c r="C31" i="10"/>
  <c r="C32" i="10" s="1"/>
  <c r="R39" i="10" s="1"/>
  <c r="C53" i="9"/>
  <c r="C32" i="9"/>
  <c r="R39" i="9" s="1"/>
  <c r="C10" i="10"/>
  <c r="R17" i="10" s="1"/>
  <c r="C17" i="9"/>
  <c r="R17" i="9"/>
  <c r="O35" i="9"/>
  <c r="K35" i="10"/>
  <c r="C54" i="10"/>
  <c r="R61" i="10" s="1"/>
  <c r="C18" i="9"/>
  <c r="O57" i="10"/>
  <c r="C483" i="12" l="1"/>
  <c r="C498" i="12" s="1"/>
  <c r="C513" i="12" s="1"/>
  <c r="C528" i="12" s="1"/>
  <c r="I4" i="5"/>
  <c r="E8" i="20" s="1"/>
  <c r="F8" i="20" s="1"/>
  <c r="A42" i="17"/>
  <c r="E349" i="12"/>
  <c r="C430" i="12"/>
  <c r="I7" i="5" s="1"/>
  <c r="C490" i="12"/>
  <c r="C460" i="12"/>
  <c r="C641" i="12"/>
  <c r="C651" i="12"/>
  <c r="C413" i="12"/>
  <c r="O57" i="9"/>
  <c r="R62" i="9"/>
  <c r="K57" i="9"/>
  <c r="R60" i="9"/>
  <c r="C54" i="9"/>
  <c r="R61" i="9" s="1"/>
  <c r="K57" i="10"/>
  <c r="R60" i="10"/>
  <c r="A44" i="17" l="1"/>
  <c r="C349" i="12"/>
  <c r="E364" i="12"/>
  <c r="C364" i="12" s="1"/>
  <c r="C666" i="12"/>
  <c r="C656" i="12"/>
  <c r="C428" i="12"/>
  <c r="H20" i="9"/>
  <c r="H21" i="9"/>
  <c r="H21" i="10"/>
  <c r="H20" i="10"/>
  <c r="A46" i="17" l="1"/>
  <c r="E386" i="12"/>
  <c r="C681" i="12"/>
  <c r="C671" i="12"/>
  <c r="C443" i="12"/>
  <c r="H43" i="10"/>
  <c r="H41" i="10"/>
  <c r="H64" i="9"/>
  <c r="H65" i="9"/>
  <c r="H42" i="10"/>
  <c r="H43" i="9"/>
  <c r="H42" i="9"/>
  <c r="E401" i="12" l="1"/>
  <c r="C401" i="12" s="1"/>
  <c r="C386" i="12"/>
  <c r="C696" i="12"/>
  <c r="I2" i="5" s="1"/>
  <c r="C686" i="12"/>
  <c r="C458" i="12"/>
  <c r="H65" i="10"/>
  <c r="H64" i="10"/>
  <c r="E416" i="12" l="1"/>
  <c r="C416" i="12" s="1"/>
  <c r="C701" i="12"/>
  <c r="C473" i="12"/>
  <c r="E431" i="12" l="1"/>
  <c r="C431" i="12" s="1"/>
  <c r="C488" i="12"/>
  <c r="E446" i="12" l="1"/>
  <c r="C446" i="12" s="1"/>
  <c r="C503" i="12"/>
  <c r="E461" i="12" l="1"/>
  <c r="C461" i="12" s="1"/>
  <c r="C518" i="12"/>
  <c r="E34" i="5"/>
  <c r="E476" i="12" l="1"/>
  <c r="C476" i="12" s="1"/>
  <c r="C533" i="12"/>
  <c r="M4" i="5" s="1"/>
  <c r="E491" i="12" l="1"/>
  <c r="C491" i="12" s="1"/>
  <c r="E506" i="12" l="1"/>
  <c r="C506" i="12" s="1"/>
  <c r="E521" i="12" l="1"/>
  <c r="C521" i="12" s="1"/>
  <c r="E536" i="12" l="1"/>
  <c r="C536" i="12" s="1"/>
  <c r="H63" i="10"/>
  <c r="E554" i="12" l="1"/>
  <c r="C554" i="12" s="1"/>
  <c r="E9" i="5"/>
  <c r="E27" i="5"/>
  <c r="E26" i="5"/>
  <c r="E37" i="5"/>
  <c r="C7" i="16" s="1"/>
  <c r="E38" i="5"/>
  <c r="C8" i="16" s="1"/>
  <c r="E2" i="5"/>
  <c r="E1" i="5"/>
  <c r="E25" i="5"/>
  <c r="E12" i="5"/>
  <c r="C68" i="9" s="1"/>
  <c r="C69" i="9" s="1"/>
  <c r="E3" i="5"/>
  <c r="E4" i="5"/>
  <c r="E48" i="5"/>
  <c r="C3" i="15" s="1"/>
  <c r="C4" i="15" s="1"/>
  <c r="E24" i="5"/>
  <c r="E10" i="5"/>
  <c r="C24" i="9" s="1"/>
  <c r="C25" i="9" s="1"/>
  <c r="E11" i="5"/>
  <c r="C46" i="9" s="1"/>
  <c r="C47" i="9" s="1"/>
  <c r="E569" i="12" l="1"/>
  <c r="C569" i="12" s="1"/>
  <c r="C5" i="16"/>
  <c r="L26" i="16" s="1"/>
  <c r="E14" i="5"/>
  <c r="E15" i="5" s="1"/>
  <c r="H16" i="9"/>
  <c r="J17" i="9"/>
  <c r="H19" i="9"/>
  <c r="H17" i="9"/>
  <c r="N17" i="9"/>
  <c r="H18" i="9"/>
  <c r="H39" i="9"/>
  <c r="H41" i="9"/>
  <c r="N39" i="9"/>
  <c r="H40" i="9"/>
  <c r="H38" i="9"/>
  <c r="J39" i="9"/>
  <c r="H60" i="9"/>
  <c r="H62" i="9"/>
  <c r="H61" i="9"/>
  <c r="N61" i="9"/>
  <c r="H63" i="9"/>
  <c r="J61" i="9"/>
  <c r="C6" i="16"/>
  <c r="B14" i="15"/>
  <c r="B20" i="15"/>
  <c r="B10" i="15"/>
  <c r="B12" i="15"/>
  <c r="B11" i="15"/>
  <c r="B13" i="15"/>
  <c r="E71" i="5"/>
  <c r="E18" i="5" l="1"/>
  <c r="E584" i="12"/>
  <c r="C584" i="12" s="1"/>
  <c r="L27" i="16"/>
  <c r="P17" i="16"/>
  <c r="L28" i="16"/>
  <c r="P16" i="16"/>
  <c r="P15" i="16"/>
  <c r="N19" i="15"/>
  <c r="M19" i="15"/>
  <c r="M21" i="15"/>
  <c r="N21" i="15"/>
  <c r="L60" i="9"/>
  <c r="P62" i="9"/>
  <c r="K62" i="9"/>
  <c r="J62" i="9"/>
  <c r="P60" i="9"/>
  <c r="L62" i="9"/>
  <c r="N60" i="9"/>
  <c r="O62" i="9"/>
  <c r="O60" i="9"/>
  <c r="N62" i="9"/>
  <c r="K60" i="9"/>
  <c r="J60" i="9"/>
  <c r="N18" i="9"/>
  <c r="L16" i="9"/>
  <c r="K18" i="9"/>
  <c r="P18" i="9"/>
  <c r="N16" i="9"/>
  <c r="O18" i="9"/>
  <c r="K16" i="9"/>
  <c r="J16" i="9"/>
  <c r="O16" i="9"/>
  <c r="J18" i="9"/>
  <c r="L18" i="9"/>
  <c r="P16" i="9"/>
  <c r="D21" i="15"/>
  <c r="J19" i="15"/>
  <c r="K19" i="15"/>
  <c r="F19" i="15"/>
  <c r="G21" i="15"/>
  <c r="L19" i="15"/>
  <c r="H21" i="15"/>
  <c r="I19" i="15"/>
  <c r="D19" i="15"/>
  <c r="I21" i="15"/>
  <c r="J21" i="15"/>
  <c r="E21" i="15"/>
  <c r="G19" i="15"/>
  <c r="K21" i="15"/>
  <c r="E19" i="15"/>
  <c r="L21" i="15"/>
  <c r="C21" i="15"/>
  <c r="C19" i="15"/>
  <c r="F21" i="15"/>
  <c r="B19" i="15"/>
  <c r="B21" i="15"/>
  <c r="H19" i="15"/>
  <c r="O38" i="9"/>
  <c r="N40" i="9"/>
  <c r="K38" i="9"/>
  <c r="P38" i="9"/>
  <c r="K40" i="9"/>
  <c r="J38" i="9"/>
  <c r="O40" i="9"/>
  <c r="L38" i="9"/>
  <c r="P40" i="9"/>
  <c r="N38" i="9"/>
  <c r="L40" i="9"/>
  <c r="J40" i="9"/>
  <c r="E599" i="12" l="1"/>
  <c r="C599" i="12" s="1"/>
  <c r="G5" i="16"/>
  <c r="E36" i="5" s="1"/>
  <c r="M20" i="15"/>
  <c r="N20" i="15"/>
  <c r="K61" i="9"/>
  <c r="S60" i="9" s="1"/>
  <c r="C20" i="15"/>
  <c r="P17" i="9"/>
  <c r="T18" i="9" s="1"/>
  <c r="E20" i="15"/>
  <c r="J20" i="15"/>
  <c r="O17" i="9"/>
  <c r="S18" i="9" s="1"/>
  <c r="L61" i="9"/>
  <c r="T60" i="9" s="1"/>
  <c r="L39" i="9"/>
  <c r="T38" i="9" s="1"/>
  <c r="L17" i="9"/>
  <c r="T16" i="9" s="1"/>
  <c r="O61" i="9"/>
  <c r="S62" i="9" s="1"/>
  <c r="P39" i="9"/>
  <c r="T40" i="9" s="1"/>
  <c r="K39" i="9"/>
  <c r="S38" i="9" s="1"/>
  <c r="K20" i="15"/>
  <c r="I20" i="15"/>
  <c r="P61" i="9"/>
  <c r="T62" i="9" s="1"/>
  <c r="K17" i="9"/>
  <c r="S16" i="9" s="1"/>
  <c r="F20" i="15"/>
  <c r="L20" i="15"/>
  <c r="D20" i="15"/>
  <c r="H20" i="15"/>
  <c r="G20" i="15"/>
  <c r="O39" i="9"/>
  <c r="S40" i="9" s="1"/>
  <c r="E4" i="15" l="1"/>
  <c r="E45" i="5" s="1"/>
  <c r="E614" i="12"/>
  <c r="C614" i="12" s="1"/>
  <c r="E68" i="5"/>
  <c r="E70" i="5"/>
  <c r="Q8" i="20"/>
  <c r="F4" i="15"/>
  <c r="E46" i="5" s="1"/>
  <c r="E47" i="5" s="1"/>
  <c r="S61" i="9"/>
  <c r="D69" i="9" s="1"/>
  <c r="H19" i="10"/>
  <c r="T39" i="9"/>
  <c r="E47" i="9" s="1"/>
  <c r="T17" i="9"/>
  <c r="E25" i="9" s="1"/>
  <c r="S39" i="9"/>
  <c r="D47" i="9" s="1"/>
  <c r="T61" i="9"/>
  <c r="E69" i="9" s="1"/>
  <c r="S17" i="9"/>
  <c r="D25" i="9" s="1"/>
  <c r="E629" i="12" l="1"/>
  <c r="C629" i="12" s="1"/>
  <c r="G72" i="5"/>
  <c r="L72" i="5"/>
  <c r="P72" i="5"/>
  <c r="N72" i="5"/>
  <c r="I72" i="5"/>
  <c r="M72" i="5"/>
  <c r="J72" i="5"/>
  <c r="H72" i="5"/>
  <c r="E644" i="12" l="1"/>
  <c r="C644" i="12" s="1"/>
  <c r="E72" i="5"/>
  <c r="E659" i="12" l="1"/>
  <c r="C659" i="12" s="1"/>
  <c r="N8" i="20"/>
  <c r="E674" i="12" l="1"/>
  <c r="C674" i="12" s="1"/>
  <c r="E689" i="12" l="1"/>
  <c r="E704" i="12" s="1"/>
  <c r="C704" i="12" s="1"/>
  <c r="L7" i="5" s="1"/>
  <c r="E58" i="5" s="1"/>
  <c r="C3" i="14" s="1"/>
  <c r="C4" i="14" s="1"/>
  <c r="K4" i="5"/>
  <c r="D8" i="20" s="1"/>
  <c r="C689" i="12"/>
  <c r="B20" i="14" l="1"/>
  <c r="B12" i="14"/>
  <c r="B11" i="14"/>
  <c r="B10" i="14"/>
  <c r="E5" i="5"/>
  <c r="C24" i="10" s="1"/>
  <c r="C25" i="10" s="1"/>
  <c r="I21" i="14" l="1"/>
  <c r="F21" i="14"/>
  <c r="G19" i="14"/>
  <c r="D21" i="14"/>
  <c r="J21" i="14"/>
  <c r="D19" i="14"/>
  <c r="I19" i="14"/>
  <c r="C21" i="14"/>
  <c r="C19" i="14"/>
  <c r="G21" i="14"/>
  <c r="E19" i="14"/>
  <c r="F19" i="14"/>
  <c r="J19" i="14"/>
  <c r="B19" i="14"/>
  <c r="H19" i="14"/>
  <c r="E21" i="14"/>
  <c r="B21" i="14"/>
  <c r="H21" i="14"/>
  <c r="H17" i="10"/>
  <c r="H18" i="10"/>
  <c r="N17" i="10"/>
  <c r="H16" i="10"/>
  <c r="C68" i="10"/>
  <c r="C69" i="10" s="1"/>
  <c r="B32" i="11"/>
  <c r="H36" i="11" s="1"/>
  <c r="C46" i="10"/>
  <c r="C47" i="10" s="1"/>
  <c r="B19" i="11"/>
  <c r="H23" i="11" s="1"/>
  <c r="B6" i="11"/>
  <c r="H10" i="11" s="1"/>
  <c r="J17" i="10"/>
  <c r="F20" i="14" l="1"/>
  <c r="C20" i="14"/>
  <c r="J20" i="14"/>
  <c r="D20" i="14"/>
  <c r="G20" i="14"/>
  <c r="E4" i="14" s="1"/>
  <c r="E55" i="5" s="1"/>
  <c r="I20" i="14"/>
  <c r="E20" i="14"/>
  <c r="H20" i="14"/>
  <c r="F4" i="14" s="1"/>
  <c r="E56" i="5" s="1"/>
  <c r="E57" i="5" s="1"/>
  <c r="K16" i="10"/>
  <c r="L18" i="10"/>
  <c r="N18" i="10"/>
  <c r="N16" i="10"/>
  <c r="O18" i="10"/>
  <c r="P16" i="10"/>
  <c r="L16" i="10"/>
  <c r="P18" i="10"/>
  <c r="J18" i="10"/>
  <c r="O16" i="10"/>
  <c r="J16" i="10"/>
  <c r="K18" i="10"/>
  <c r="H39" i="10"/>
  <c r="H40" i="10"/>
  <c r="N39" i="10"/>
  <c r="H38" i="10"/>
  <c r="H61" i="10"/>
  <c r="H62" i="10"/>
  <c r="J61" i="10"/>
  <c r="H60" i="10"/>
  <c r="N61" i="10"/>
  <c r="G23" i="11"/>
  <c r="G36" i="11"/>
  <c r="G10" i="11"/>
  <c r="J39" i="10"/>
  <c r="E61" i="5" l="1"/>
  <c r="O181" i="12"/>
  <c r="P181" i="12" s="1"/>
  <c r="L17" i="10"/>
  <c r="T16" i="10" s="1"/>
  <c r="K17" i="10"/>
  <c r="S16" i="10" s="1"/>
  <c r="O17" i="10"/>
  <c r="S18" i="10" s="1"/>
  <c r="P17" i="10"/>
  <c r="T18" i="10" s="1"/>
  <c r="K38" i="10"/>
  <c r="K40" i="10"/>
  <c r="N40" i="10"/>
  <c r="O40" i="10"/>
  <c r="O38" i="10"/>
  <c r="P38" i="10"/>
  <c r="L40" i="10"/>
  <c r="N38" i="10"/>
  <c r="L38" i="10"/>
  <c r="P40" i="10"/>
  <c r="J40" i="10"/>
  <c r="J38" i="10"/>
  <c r="N62" i="10"/>
  <c r="P62" i="10"/>
  <c r="K62" i="10"/>
  <c r="J60" i="10"/>
  <c r="L60" i="10"/>
  <c r="O60" i="10"/>
  <c r="L62" i="10"/>
  <c r="P60" i="10"/>
  <c r="O62" i="10"/>
  <c r="K60" i="10"/>
  <c r="J62" i="10"/>
  <c r="N60" i="10"/>
  <c r="E63" i="5" l="1"/>
  <c r="R8" i="20"/>
  <c r="E59" i="5"/>
  <c r="L74" i="5" s="1"/>
  <c r="T17" i="10"/>
  <c r="E25" i="10" s="1"/>
  <c r="S17" i="10"/>
  <c r="D25" i="10" s="1"/>
  <c r="L39" i="10"/>
  <c r="T38" i="10" s="1"/>
  <c r="O39" i="10"/>
  <c r="S40" i="10" s="1"/>
  <c r="K39" i="10"/>
  <c r="S38" i="10" s="1"/>
  <c r="K61" i="10"/>
  <c r="S60" i="10" s="1"/>
  <c r="P39" i="10"/>
  <c r="T40" i="10" s="1"/>
  <c r="P61" i="10"/>
  <c r="T62" i="10" s="1"/>
  <c r="L61" i="10"/>
  <c r="T60" i="10" s="1"/>
  <c r="O61" i="10"/>
  <c r="S62" i="10" s="1"/>
  <c r="N74" i="5" l="1"/>
  <c r="M74" i="5"/>
  <c r="I74" i="5"/>
  <c r="H74" i="5"/>
  <c r="G74" i="5"/>
  <c r="P74" i="5"/>
  <c r="J74" i="5"/>
  <c r="E67" i="5"/>
  <c r="E967" i="12"/>
  <c r="E954" i="12"/>
  <c r="E980" i="12"/>
  <c r="S8" i="20"/>
  <c r="S61" i="10"/>
  <c r="D69" i="10" s="1"/>
  <c r="P73" i="5"/>
  <c r="M73" i="5"/>
  <c r="S39" i="10"/>
  <c r="D47" i="10" s="1"/>
  <c r="H73" i="5"/>
  <c r="T39" i="10"/>
  <c r="E47" i="10" s="1"/>
  <c r="T61" i="10"/>
  <c r="E69" i="10" s="1"/>
  <c r="E74" i="5" l="1"/>
  <c r="M8" i="20" s="1"/>
  <c r="O180" i="12"/>
  <c r="L22" i="24" s="1"/>
  <c r="J37" i="24" s="1"/>
  <c r="J39" i="24" s="1"/>
  <c r="C9" i="17" s="1"/>
  <c r="I73" i="5"/>
  <c r="G73" i="5"/>
  <c r="J73" i="5"/>
  <c r="L73" i="5"/>
  <c r="N73" i="5"/>
  <c r="E73" i="5" l="1"/>
  <c r="O8" i="20" s="1"/>
  <c r="E75" i="5" l="1"/>
  <c r="E69" i="5" s="1"/>
  <c r="E76" i="5" s="1"/>
  <c r="T8" i="20" s="1"/>
  <c r="P8" i="20" l="1"/>
  <c r="U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Cristiano</author>
  </authors>
  <commentList>
    <comment ref="E9" authorId="0" shapeId="0" xr:uid="{00000000-0006-0000-0000-000001000000}">
      <text>
        <r>
          <rPr>
            <b/>
            <sz val="9"/>
            <color indexed="81"/>
            <rFont val="Tahoma"/>
            <family val="2"/>
          </rPr>
          <t>Cristiano:</t>
        </r>
        <r>
          <rPr>
            <sz val="9"/>
            <color indexed="81"/>
            <rFont val="Tahoma"/>
            <family val="2"/>
          </rPr>
          <t xml:space="preserve">
Indicare X</t>
        </r>
      </text>
    </comment>
    <comment ref="G9" authorId="0" shapeId="0" xr:uid="{00000000-0006-0000-0000-000002000000}">
      <text>
        <r>
          <rPr>
            <b/>
            <sz val="9"/>
            <color indexed="81"/>
            <rFont val="Tahoma"/>
            <family val="2"/>
          </rPr>
          <t>Cristiano:</t>
        </r>
        <r>
          <rPr>
            <sz val="9"/>
            <color indexed="81"/>
            <rFont val="Tahoma"/>
            <family val="2"/>
          </rPr>
          <t xml:space="preserve">
Indicare X</t>
        </r>
      </text>
    </comment>
    <comment ref="F10" authorId="0" shapeId="0" xr:uid="{00000000-0006-0000-0000-000003000000}">
      <text>
        <r>
          <rPr>
            <b/>
            <sz val="9"/>
            <color indexed="81"/>
            <rFont val="Tahoma"/>
            <family val="2"/>
          </rPr>
          <t>Cristiano:</t>
        </r>
        <r>
          <rPr>
            <sz val="9"/>
            <color indexed="81"/>
            <rFont val="Tahoma"/>
            <family val="2"/>
          </rPr>
          <t xml:space="preserve">
Indicare X</t>
        </r>
      </text>
    </comment>
    <comment ref="H10" authorId="0" shapeId="0" xr:uid="{00000000-0006-0000-0000-000004000000}">
      <text>
        <r>
          <rPr>
            <b/>
            <sz val="9"/>
            <color indexed="81"/>
            <rFont val="Tahoma"/>
            <family val="2"/>
          </rPr>
          <t>Cristiano:</t>
        </r>
        <r>
          <rPr>
            <sz val="9"/>
            <color indexed="81"/>
            <rFont val="Tahoma"/>
            <family val="2"/>
          </rPr>
          <t xml:space="preserve">
Indicare X</t>
        </r>
      </text>
    </comment>
    <comment ref="D26" authorId="0" shapeId="0" xr:uid="{00000000-0006-0000-0000-000005000000}">
      <text>
        <r>
          <rPr>
            <b/>
            <sz val="9"/>
            <color indexed="81"/>
            <rFont val="Tahoma"/>
            <family val="2"/>
          </rPr>
          <t>Cristiano:</t>
        </r>
        <r>
          <rPr>
            <sz val="9"/>
            <color indexed="81"/>
            <rFont val="Tahoma"/>
            <family val="2"/>
          </rPr>
          <t xml:space="preserve">
Indicare X</t>
        </r>
      </text>
    </comment>
    <comment ref="E26" authorId="0" shapeId="0" xr:uid="{00000000-0006-0000-0000-000006000000}">
      <text>
        <r>
          <rPr>
            <b/>
            <sz val="9"/>
            <color indexed="81"/>
            <rFont val="Tahoma"/>
            <family val="2"/>
          </rPr>
          <t>Cristiano:</t>
        </r>
        <r>
          <rPr>
            <sz val="9"/>
            <color indexed="81"/>
            <rFont val="Tahoma"/>
            <family val="2"/>
          </rPr>
          <t xml:space="preserve">
Indicare X</t>
        </r>
      </text>
    </comment>
    <comment ref="F26" authorId="0" shapeId="0" xr:uid="{00000000-0006-0000-0000-000007000000}">
      <text>
        <r>
          <rPr>
            <b/>
            <sz val="9"/>
            <color indexed="81"/>
            <rFont val="Tahoma"/>
            <family val="2"/>
          </rPr>
          <t>Cristiano:</t>
        </r>
        <r>
          <rPr>
            <sz val="9"/>
            <color indexed="81"/>
            <rFont val="Tahoma"/>
            <family val="2"/>
          </rPr>
          <t xml:space="preserve">
Indicare X</t>
        </r>
      </text>
    </comment>
    <comment ref="G26" authorId="0" shapeId="0" xr:uid="{00000000-0006-0000-0000-000008000000}">
      <text>
        <r>
          <rPr>
            <b/>
            <sz val="9"/>
            <color indexed="81"/>
            <rFont val="Tahoma"/>
            <family val="2"/>
          </rPr>
          <t>Cristiano:</t>
        </r>
        <r>
          <rPr>
            <sz val="9"/>
            <color indexed="81"/>
            <rFont val="Tahoma"/>
            <family val="2"/>
          </rPr>
          <t xml:space="preserve">
Indicare X</t>
        </r>
      </text>
    </comment>
    <comment ref="J26" authorId="0" shapeId="0" xr:uid="{00000000-0006-0000-0000-000009000000}">
      <text>
        <r>
          <rPr>
            <b/>
            <sz val="9"/>
            <color indexed="81"/>
            <rFont val="Tahoma"/>
            <family val="2"/>
          </rPr>
          <t>Cristiano:</t>
        </r>
        <r>
          <rPr>
            <sz val="9"/>
            <color indexed="81"/>
            <rFont val="Tahoma"/>
            <family val="2"/>
          </rPr>
          <t xml:space="preserve">
Indicare X</t>
        </r>
      </text>
    </comment>
    <comment ref="L26" authorId="0" shapeId="0" xr:uid="{00000000-0006-0000-0000-00000A000000}">
      <text>
        <r>
          <rPr>
            <b/>
            <sz val="9"/>
            <color indexed="81"/>
            <rFont val="Tahoma"/>
            <family val="2"/>
          </rPr>
          <t>Cristiano:</t>
        </r>
        <r>
          <rPr>
            <sz val="9"/>
            <color indexed="81"/>
            <rFont val="Tahoma"/>
            <family val="2"/>
          </rPr>
          <t xml:space="preserve">
Indicare X</t>
        </r>
      </text>
    </comment>
    <comment ref="K31" authorId="0" shapeId="0" xr:uid="{00000000-0006-0000-0000-00000B000000}">
      <text>
        <r>
          <rPr>
            <b/>
            <sz val="9"/>
            <color indexed="81"/>
            <rFont val="Tahoma"/>
            <family val="2"/>
          </rPr>
          <t>Cristiano:</t>
        </r>
        <r>
          <rPr>
            <sz val="9"/>
            <color indexed="81"/>
            <rFont val="Tahoma"/>
            <family val="2"/>
          </rPr>
          <t xml:space="preserve">
Indicare X</t>
        </r>
      </text>
    </comment>
    <comment ref="L31" authorId="0" shapeId="0" xr:uid="{00000000-0006-0000-0000-00000C000000}">
      <text>
        <r>
          <rPr>
            <b/>
            <sz val="9"/>
            <color indexed="81"/>
            <rFont val="Tahoma"/>
            <family val="2"/>
          </rPr>
          <t>Cristiano:</t>
        </r>
        <r>
          <rPr>
            <sz val="9"/>
            <color indexed="81"/>
            <rFont val="Tahoma"/>
            <family val="2"/>
          </rPr>
          <t xml:space="preserve">
Indicare X</t>
        </r>
      </text>
    </comment>
    <comment ref="M31" authorId="0" shapeId="0" xr:uid="{00000000-0006-0000-0000-00000D000000}">
      <text>
        <r>
          <rPr>
            <b/>
            <sz val="9"/>
            <color indexed="81"/>
            <rFont val="Tahoma"/>
            <family val="2"/>
          </rPr>
          <t>Cristiano:</t>
        </r>
        <r>
          <rPr>
            <sz val="9"/>
            <color indexed="81"/>
            <rFont val="Tahoma"/>
            <family val="2"/>
          </rPr>
          <t xml:space="preserve">
Indicare X</t>
        </r>
      </text>
    </comment>
    <comment ref="D35" authorId="0" shapeId="0" xr:uid="{00000000-0006-0000-0000-00000E000000}">
      <text>
        <r>
          <rPr>
            <b/>
            <sz val="9"/>
            <color indexed="81"/>
            <rFont val="Tahoma"/>
            <family val="2"/>
          </rPr>
          <t>Cristiano:</t>
        </r>
        <r>
          <rPr>
            <sz val="9"/>
            <color indexed="81"/>
            <rFont val="Tahoma"/>
            <family val="2"/>
          </rPr>
          <t xml:space="preserve">
Indicare X</t>
        </r>
      </text>
    </comment>
    <comment ref="E35" authorId="0" shapeId="0" xr:uid="{00000000-0006-0000-0000-00000F000000}">
      <text>
        <r>
          <rPr>
            <b/>
            <sz val="9"/>
            <color indexed="81"/>
            <rFont val="Tahoma"/>
            <family val="2"/>
          </rPr>
          <t>Cristiano:</t>
        </r>
        <r>
          <rPr>
            <sz val="9"/>
            <color indexed="81"/>
            <rFont val="Tahoma"/>
            <family val="2"/>
          </rPr>
          <t xml:space="preserve">
Indicare X</t>
        </r>
      </text>
    </comment>
    <comment ref="F35" authorId="0" shapeId="0" xr:uid="{00000000-0006-0000-0000-000010000000}">
      <text>
        <r>
          <rPr>
            <b/>
            <sz val="9"/>
            <color indexed="81"/>
            <rFont val="Tahoma"/>
            <family val="2"/>
          </rPr>
          <t>Cristiano:</t>
        </r>
        <r>
          <rPr>
            <sz val="9"/>
            <color indexed="81"/>
            <rFont val="Tahoma"/>
            <family val="2"/>
          </rPr>
          <t xml:space="preserve">
Indicare X</t>
        </r>
      </text>
    </comment>
    <comment ref="G35" authorId="0" shapeId="0" xr:uid="{00000000-0006-0000-0000-000011000000}">
      <text>
        <r>
          <rPr>
            <b/>
            <sz val="9"/>
            <color indexed="81"/>
            <rFont val="Tahoma"/>
            <family val="2"/>
          </rPr>
          <t>Cristiano:</t>
        </r>
        <r>
          <rPr>
            <sz val="9"/>
            <color indexed="81"/>
            <rFont val="Tahoma"/>
            <family val="2"/>
          </rPr>
          <t xml:space="preserve">
Indicare X</t>
        </r>
      </text>
    </comment>
    <comment ref="J36" authorId="0" shapeId="0" xr:uid="{00000000-0006-0000-0000-000012000000}">
      <text>
        <r>
          <rPr>
            <b/>
            <sz val="9"/>
            <color indexed="81"/>
            <rFont val="Tahoma"/>
            <family val="2"/>
          </rPr>
          <t>Cristiano:</t>
        </r>
        <r>
          <rPr>
            <sz val="9"/>
            <color indexed="81"/>
            <rFont val="Tahoma"/>
            <family val="2"/>
          </rPr>
          <t xml:space="preserve">
Indicare X</t>
        </r>
      </text>
    </comment>
    <comment ref="L36" authorId="0" shapeId="0" xr:uid="{00000000-0006-0000-0000-000013000000}">
      <text>
        <r>
          <rPr>
            <b/>
            <sz val="9"/>
            <color indexed="81"/>
            <rFont val="Tahoma"/>
            <family val="2"/>
          </rPr>
          <t>Cristiano:</t>
        </r>
        <r>
          <rPr>
            <sz val="9"/>
            <color indexed="81"/>
            <rFont val="Tahoma"/>
            <family val="2"/>
          </rPr>
          <t xml:space="preserve">
Indicare X</t>
        </r>
      </text>
    </comment>
    <comment ref="F37" authorId="0" shapeId="0" xr:uid="{00000000-0006-0000-0000-000014000000}">
      <text>
        <r>
          <rPr>
            <b/>
            <sz val="9"/>
            <color indexed="81"/>
            <rFont val="Tahoma"/>
            <family val="2"/>
          </rPr>
          <t>Cristiano:</t>
        </r>
        <r>
          <rPr>
            <sz val="9"/>
            <color indexed="81"/>
            <rFont val="Tahoma"/>
            <family val="2"/>
          </rPr>
          <t xml:space="preserve">
Indicare X</t>
        </r>
      </text>
    </comment>
    <comment ref="G37" authorId="0" shapeId="0" xr:uid="{00000000-0006-0000-0000-000015000000}">
      <text>
        <r>
          <rPr>
            <b/>
            <sz val="9"/>
            <color indexed="81"/>
            <rFont val="Tahoma"/>
            <family val="2"/>
          </rPr>
          <t>Cristiano:</t>
        </r>
        <r>
          <rPr>
            <sz val="9"/>
            <color indexed="81"/>
            <rFont val="Tahoma"/>
            <family val="2"/>
          </rPr>
          <t xml:space="preserve">
Indicare X</t>
        </r>
      </text>
    </comment>
    <comment ref="E60" authorId="0" shapeId="0" xr:uid="{00000000-0006-0000-0000-000016000000}">
      <text>
        <r>
          <rPr>
            <b/>
            <sz val="9"/>
            <color indexed="81"/>
            <rFont val="Tahoma"/>
            <family val="2"/>
          </rPr>
          <t>Cristiano:</t>
        </r>
        <r>
          <rPr>
            <sz val="9"/>
            <color indexed="81"/>
            <rFont val="Tahoma"/>
            <family val="2"/>
          </rPr>
          <t xml:space="preserve">
Indicare X</t>
        </r>
      </text>
    </comment>
    <comment ref="G60" authorId="0" shapeId="0" xr:uid="{00000000-0006-0000-0000-000017000000}">
      <text>
        <r>
          <rPr>
            <b/>
            <sz val="9"/>
            <color indexed="81"/>
            <rFont val="Tahoma"/>
            <family val="2"/>
          </rPr>
          <t>Cristiano:</t>
        </r>
        <r>
          <rPr>
            <sz val="9"/>
            <color indexed="81"/>
            <rFont val="Tahoma"/>
            <family val="2"/>
          </rPr>
          <t xml:space="preserve">
Indicare X</t>
        </r>
      </text>
    </comment>
    <comment ref="E61" authorId="0" shapeId="0" xr:uid="{00000000-0006-0000-0000-000018000000}">
      <text>
        <r>
          <rPr>
            <b/>
            <sz val="9"/>
            <color indexed="81"/>
            <rFont val="Tahoma"/>
            <family val="2"/>
          </rPr>
          <t>Cristiano:</t>
        </r>
        <r>
          <rPr>
            <sz val="9"/>
            <color indexed="81"/>
            <rFont val="Tahoma"/>
            <family val="2"/>
          </rPr>
          <t xml:space="preserve">
Indicare X</t>
        </r>
      </text>
    </comment>
    <comment ref="G61" authorId="0" shapeId="0" xr:uid="{00000000-0006-0000-0000-000019000000}">
      <text>
        <r>
          <rPr>
            <b/>
            <sz val="9"/>
            <color indexed="81"/>
            <rFont val="Tahoma"/>
            <family val="2"/>
          </rPr>
          <t>Cristiano:</t>
        </r>
        <r>
          <rPr>
            <sz val="9"/>
            <color indexed="81"/>
            <rFont val="Tahoma"/>
            <family val="2"/>
          </rPr>
          <t xml:space="preserve">
Indicare X</t>
        </r>
      </text>
    </comment>
    <comment ref="C66" authorId="0" shapeId="0" xr:uid="{00000000-0006-0000-0000-00001A000000}">
      <text>
        <r>
          <rPr>
            <b/>
            <sz val="9"/>
            <color indexed="81"/>
            <rFont val="Tahoma"/>
            <family val="2"/>
          </rPr>
          <t>Cristiano:</t>
        </r>
        <r>
          <rPr>
            <sz val="9"/>
            <color indexed="81"/>
            <rFont val="Tahoma"/>
            <family val="2"/>
          </rPr>
          <t xml:space="preserve">
Indicare X</t>
        </r>
      </text>
    </comment>
    <comment ref="D66" authorId="0" shapeId="0" xr:uid="{00000000-0006-0000-0000-00001B000000}">
      <text>
        <r>
          <rPr>
            <b/>
            <sz val="9"/>
            <color indexed="81"/>
            <rFont val="Tahoma"/>
            <family val="2"/>
          </rPr>
          <t>Cristiano:</t>
        </r>
        <r>
          <rPr>
            <sz val="9"/>
            <color indexed="81"/>
            <rFont val="Tahoma"/>
            <family val="2"/>
          </rPr>
          <t xml:space="preserve">
Indicare X</t>
        </r>
      </text>
    </comment>
    <comment ref="E66" authorId="0" shapeId="0" xr:uid="{00000000-0006-0000-0000-00001C000000}">
      <text>
        <r>
          <rPr>
            <b/>
            <sz val="9"/>
            <color indexed="81"/>
            <rFont val="Tahoma"/>
            <family val="2"/>
          </rPr>
          <t>Cristiano:</t>
        </r>
        <r>
          <rPr>
            <sz val="9"/>
            <color indexed="81"/>
            <rFont val="Tahoma"/>
            <family val="2"/>
          </rPr>
          <t xml:space="preserve">
Indicare X</t>
        </r>
      </text>
    </comment>
    <comment ref="F66" authorId="0" shapeId="0" xr:uid="{00000000-0006-0000-0000-00001D000000}">
      <text>
        <r>
          <rPr>
            <b/>
            <sz val="9"/>
            <color indexed="81"/>
            <rFont val="Tahoma"/>
            <family val="2"/>
          </rPr>
          <t>Cristiano:</t>
        </r>
        <r>
          <rPr>
            <sz val="9"/>
            <color indexed="81"/>
            <rFont val="Tahoma"/>
            <family val="2"/>
          </rPr>
          <t xml:space="preserve">
Indicare X</t>
        </r>
      </text>
    </comment>
    <comment ref="G66" authorId="0" shapeId="0" xr:uid="{00000000-0006-0000-0000-00001E000000}">
      <text>
        <r>
          <rPr>
            <b/>
            <sz val="9"/>
            <color indexed="81"/>
            <rFont val="Tahoma"/>
            <family val="2"/>
          </rPr>
          <t>Cristiano:</t>
        </r>
        <r>
          <rPr>
            <sz val="9"/>
            <color indexed="81"/>
            <rFont val="Tahoma"/>
            <family val="2"/>
          </rPr>
          <t xml:space="preserve">
Indicare X</t>
        </r>
      </text>
    </comment>
    <comment ref="H66" authorId="0" shapeId="0" xr:uid="{00000000-0006-0000-0000-00001F000000}">
      <text>
        <r>
          <rPr>
            <b/>
            <sz val="9"/>
            <color indexed="81"/>
            <rFont val="Tahoma"/>
            <family val="2"/>
          </rPr>
          <t>Cristiano:</t>
        </r>
        <r>
          <rPr>
            <sz val="9"/>
            <color indexed="81"/>
            <rFont val="Tahoma"/>
            <family val="2"/>
          </rPr>
          <t xml:space="preserve">
Indicare X</t>
        </r>
      </text>
    </comment>
    <comment ref="F68" authorId="0" shapeId="0" xr:uid="{00000000-0006-0000-0000-000020000000}">
      <text>
        <r>
          <rPr>
            <b/>
            <sz val="9"/>
            <color indexed="81"/>
            <rFont val="Tahoma"/>
            <family val="2"/>
          </rPr>
          <t>Cristiano:</t>
        </r>
        <r>
          <rPr>
            <sz val="9"/>
            <color indexed="81"/>
            <rFont val="Tahoma"/>
            <family val="2"/>
          </rPr>
          <t xml:space="preserve">
Indicare X</t>
        </r>
      </text>
    </comment>
    <comment ref="G68" authorId="0" shapeId="0" xr:uid="{00000000-0006-0000-0000-000021000000}">
      <text>
        <r>
          <rPr>
            <b/>
            <sz val="9"/>
            <color indexed="81"/>
            <rFont val="Tahoma"/>
            <family val="2"/>
          </rPr>
          <t>Cristiano:</t>
        </r>
        <r>
          <rPr>
            <sz val="9"/>
            <color indexed="81"/>
            <rFont val="Tahoma"/>
            <family val="2"/>
          </rPr>
          <t xml:space="preserve">
Indicare X</t>
        </r>
      </text>
    </comment>
    <comment ref="H68" authorId="0" shapeId="0" xr:uid="{00000000-0006-0000-0000-000022000000}">
      <text>
        <r>
          <rPr>
            <b/>
            <sz val="9"/>
            <color indexed="81"/>
            <rFont val="Tahoma"/>
            <family val="2"/>
          </rPr>
          <t>Cristiano:</t>
        </r>
        <r>
          <rPr>
            <sz val="9"/>
            <color indexed="81"/>
            <rFont val="Tahoma"/>
            <family val="2"/>
          </rPr>
          <t xml:space="preserve">
Indicare X</t>
        </r>
      </text>
    </comment>
    <comment ref="L68" authorId="0" shapeId="0" xr:uid="{00000000-0006-0000-0000-000023000000}">
      <text>
        <r>
          <rPr>
            <b/>
            <sz val="9"/>
            <color indexed="81"/>
            <rFont val="Tahoma"/>
            <family val="2"/>
          </rPr>
          <t>Cristiano:</t>
        </r>
        <r>
          <rPr>
            <sz val="9"/>
            <color indexed="81"/>
            <rFont val="Tahoma"/>
            <family val="2"/>
          </rPr>
          <t xml:space="preserve">
Indicare X</t>
        </r>
      </text>
    </comment>
    <comment ref="M68" authorId="0" shapeId="0" xr:uid="{00000000-0006-0000-0000-000024000000}">
      <text>
        <r>
          <rPr>
            <b/>
            <sz val="9"/>
            <color indexed="81"/>
            <rFont val="Tahoma"/>
            <family val="2"/>
          </rPr>
          <t>Cristiano:</t>
        </r>
        <r>
          <rPr>
            <sz val="9"/>
            <color indexed="81"/>
            <rFont val="Tahoma"/>
            <family val="2"/>
          </rPr>
          <t xml:space="preserve">
Indicare X</t>
        </r>
      </text>
    </comment>
    <comment ref="F70" authorId="0" shapeId="0" xr:uid="{00000000-0006-0000-0000-000025000000}">
      <text>
        <r>
          <rPr>
            <b/>
            <sz val="9"/>
            <color indexed="81"/>
            <rFont val="Tahoma"/>
            <family val="2"/>
          </rPr>
          <t>Cristiano:</t>
        </r>
        <r>
          <rPr>
            <sz val="9"/>
            <color indexed="81"/>
            <rFont val="Tahoma"/>
            <family val="2"/>
          </rPr>
          <t xml:space="preserve">
Indicare X</t>
        </r>
      </text>
    </comment>
    <comment ref="G70" authorId="0" shapeId="0" xr:uid="{00000000-0006-0000-0000-000026000000}">
      <text>
        <r>
          <rPr>
            <b/>
            <sz val="9"/>
            <color indexed="81"/>
            <rFont val="Tahoma"/>
            <family val="2"/>
          </rPr>
          <t>Cristiano:</t>
        </r>
        <r>
          <rPr>
            <sz val="9"/>
            <color indexed="81"/>
            <rFont val="Tahoma"/>
            <family val="2"/>
          </rPr>
          <t xml:space="preserve">
Indicare X</t>
        </r>
      </text>
    </comment>
    <comment ref="H70" authorId="0" shapeId="0" xr:uid="{00000000-0006-0000-0000-000027000000}">
      <text>
        <r>
          <rPr>
            <b/>
            <sz val="9"/>
            <color indexed="81"/>
            <rFont val="Tahoma"/>
            <family val="2"/>
          </rPr>
          <t>Cristiano:</t>
        </r>
        <r>
          <rPr>
            <sz val="9"/>
            <color indexed="81"/>
            <rFont val="Tahoma"/>
            <family val="2"/>
          </rPr>
          <t xml:space="preserve">
Indicare X</t>
        </r>
      </text>
    </comment>
    <comment ref="E74" authorId="0" shapeId="0" xr:uid="{00000000-0006-0000-0000-000028000000}">
      <text>
        <r>
          <rPr>
            <b/>
            <sz val="9"/>
            <color indexed="81"/>
            <rFont val="Tahoma"/>
            <family val="2"/>
          </rPr>
          <t>Cristiano:</t>
        </r>
        <r>
          <rPr>
            <sz val="9"/>
            <color indexed="81"/>
            <rFont val="Tahoma"/>
            <family val="2"/>
          </rPr>
          <t xml:space="preserve">
Indicare X</t>
        </r>
      </text>
    </comment>
    <comment ref="F74" authorId="0" shapeId="0" xr:uid="{00000000-0006-0000-0000-000029000000}">
      <text>
        <r>
          <rPr>
            <b/>
            <sz val="9"/>
            <color indexed="81"/>
            <rFont val="Tahoma"/>
            <family val="2"/>
          </rPr>
          <t>Cristiano:</t>
        </r>
        <r>
          <rPr>
            <sz val="9"/>
            <color indexed="81"/>
            <rFont val="Tahoma"/>
            <family val="2"/>
          </rPr>
          <t xml:space="preserve">
Indicare X</t>
        </r>
      </text>
    </comment>
    <comment ref="L74" authorId="0" shapeId="0" xr:uid="{00000000-0006-0000-0000-00002A000000}">
      <text>
        <r>
          <rPr>
            <b/>
            <sz val="9"/>
            <color indexed="81"/>
            <rFont val="Tahoma"/>
            <family val="2"/>
          </rPr>
          <t>Cristiano:</t>
        </r>
        <r>
          <rPr>
            <sz val="9"/>
            <color indexed="81"/>
            <rFont val="Tahoma"/>
            <family val="2"/>
          </rPr>
          <t xml:space="preserve">
Indicare X</t>
        </r>
      </text>
    </comment>
    <comment ref="M74" authorId="0" shapeId="0" xr:uid="{00000000-0006-0000-0000-00002B000000}">
      <text>
        <r>
          <rPr>
            <b/>
            <sz val="9"/>
            <color indexed="81"/>
            <rFont val="Tahoma"/>
            <family val="2"/>
          </rPr>
          <t>Cristiano:</t>
        </r>
        <r>
          <rPr>
            <sz val="9"/>
            <color indexed="81"/>
            <rFont val="Tahoma"/>
            <family val="2"/>
          </rPr>
          <t xml:space="preserve">
Indicare X</t>
        </r>
      </text>
    </comment>
    <comment ref="M78" authorId="0" shapeId="0" xr:uid="{00000000-0006-0000-0000-00002C000000}">
      <text>
        <r>
          <rPr>
            <b/>
            <sz val="9"/>
            <color indexed="81"/>
            <rFont val="Tahoma"/>
            <family val="2"/>
          </rPr>
          <t>Cristiano:</t>
        </r>
        <r>
          <rPr>
            <sz val="9"/>
            <color indexed="81"/>
            <rFont val="Tahoma"/>
            <family val="2"/>
          </rPr>
          <t xml:space="preserve">
Indicare X</t>
        </r>
      </text>
    </comment>
    <comment ref="M79" authorId="0" shapeId="0" xr:uid="{00000000-0006-0000-0000-00002D000000}">
      <text>
        <r>
          <rPr>
            <b/>
            <sz val="9"/>
            <color indexed="81"/>
            <rFont val="Tahoma"/>
            <family val="2"/>
          </rPr>
          <t>Cristiano:</t>
        </r>
        <r>
          <rPr>
            <sz val="9"/>
            <color indexed="81"/>
            <rFont val="Tahoma"/>
            <family val="2"/>
          </rPr>
          <t xml:space="preserve">
Indicare X</t>
        </r>
      </text>
    </comment>
    <comment ref="E85" authorId="0" shapeId="0" xr:uid="{00000000-0006-0000-0000-00002E000000}">
      <text>
        <r>
          <rPr>
            <b/>
            <sz val="9"/>
            <color indexed="81"/>
            <rFont val="Tahoma"/>
            <family val="2"/>
          </rPr>
          <t>Cristiano:</t>
        </r>
        <r>
          <rPr>
            <sz val="9"/>
            <color indexed="81"/>
            <rFont val="Tahoma"/>
            <family val="2"/>
          </rPr>
          <t xml:space="preserve">
Indicare X</t>
        </r>
      </text>
    </comment>
    <comment ref="F85" authorId="0" shapeId="0" xr:uid="{00000000-0006-0000-0000-00002F000000}">
      <text>
        <r>
          <rPr>
            <b/>
            <sz val="9"/>
            <color indexed="81"/>
            <rFont val="Tahoma"/>
            <family val="2"/>
          </rPr>
          <t>Cristiano:</t>
        </r>
        <r>
          <rPr>
            <sz val="9"/>
            <color indexed="81"/>
            <rFont val="Tahoma"/>
            <family val="2"/>
          </rPr>
          <t xml:space="preserve">
Indicare X</t>
        </r>
      </text>
    </comment>
    <comment ref="G85" authorId="0" shapeId="0" xr:uid="{00000000-0006-0000-0000-000030000000}">
      <text>
        <r>
          <rPr>
            <b/>
            <sz val="9"/>
            <color indexed="81"/>
            <rFont val="Tahoma"/>
            <family val="2"/>
          </rPr>
          <t>Cristiano:</t>
        </r>
        <r>
          <rPr>
            <sz val="9"/>
            <color indexed="81"/>
            <rFont val="Tahoma"/>
            <family val="2"/>
          </rPr>
          <t xml:space="preserve">
Indicare X</t>
        </r>
      </text>
    </comment>
    <comment ref="L85" authorId="0" shapeId="0" xr:uid="{00000000-0006-0000-0000-000031000000}">
      <text>
        <r>
          <rPr>
            <b/>
            <sz val="9"/>
            <color indexed="81"/>
            <rFont val="Tahoma"/>
            <family val="2"/>
          </rPr>
          <t>Cristiano:</t>
        </r>
        <r>
          <rPr>
            <sz val="9"/>
            <color indexed="81"/>
            <rFont val="Tahoma"/>
            <family val="2"/>
          </rPr>
          <t xml:space="preserve">
Indicare X</t>
        </r>
      </text>
    </comment>
    <comment ref="M85" authorId="0" shapeId="0" xr:uid="{00000000-0006-0000-0000-000032000000}">
      <text>
        <r>
          <rPr>
            <b/>
            <sz val="9"/>
            <color indexed="81"/>
            <rFont val="Tahoma"/>
            <family val="2"/>
          </rPr>
          <t>Cristiano:</t>
        </r>
        <r>
          <rPr>
            <sz val="9"/>
            <color indexed="81"/>
            <rFont val="Tahoma"/>
            <family val="2"/>
          </rPr>
          <t xml:space="preserve">
Indicare X</t>
        </r>
      </text>
    </comment>
    <comment ref="E87" authorId="0" shapeId="0" xr:uid="{00000000-0006-0000-0000-000033000000}">
      <text>
        <r>
          <rPr>
            <b/>
            <sz val="9"/>
            <color indexed="81"/>
            <rFont val="Tahoma"/>
            <family val="2"/>
          </rPr>
          <t>Cristiano:</t>
        </r>
        <r>
          <rPr>
            <sz val="9"/>
            <color indexed="81"/>
            <rFont val="Tahoma"/>
            <family val="2"/>
          </rPr>
          <t xml:space="preserve">
Indicare X</t>
        </r>
      </text>
    </comment>
    <comment ref="F87" authorId="0" shapeId="0" xr:uid="{00000000-0006-0000-0000-000034000000}">
      <text>
        <r>
          <rPr>
            <b/>
            <sz val="9"/>
            <color indexed="81"/>
            <rFont val="Tahoma"/>
            <family val="2"/>
          </rPr>
          <t>Cristiano:</t>
        </r>
        <r>
          <rPr>
            <sz val="9"/>
            <color indexed="81"/>
            <rFont val="Tahoma"/>
            <family val="2"/>
          </rPr>
          <t xml:space="preserve">
Indicare X</t>
        </r>
      </text>
    </comment>
    <comment ref="G87" authorId="0" shapeId="0" xr:uid="{00000000-0006-0000-0000-000035000000}">
      <text>
        <r>
          <rPr>
            <b/>
            <sz val="9"/>
            <color indexed="81"/>
            <rFont val="Tahoma"/>
            <family val="2"/>
          </rPr>
          <t>Cristiano:</t>
        </r>
        <r>
          <rPr>
            <sz val="9"/>
            <color indexed="81"/>
            <rFont val="Tahoma"/>
            <family val="2"/>
          </rPr>
          <t xml:space="preserve">
Indicare X</t>
        </r>
      </text>
    </comment>
    <comment ref="L87" authorId="0" shapeId="0" xr:uid="{00000000-0006-0000-0000-000036000000}">
      <text>
        <r>
          <rPr>
            <b/>
            <sz val="9"/>
            <color indexed="81"/>
            <rFont val="Tahoma"/>
            <family val="2"/>
          </rPr>
          <t>Cristiano:</t>
        </r>
        <r>
          <rPr>
            <sz val="9"/>
            <color indexed="81"/>
            <rFont val="Tahoma"/>
            <family val="2"/>
          </rPr>
          <t xml:space="preserve">
Indicare X</t>
        </r>
      </text>
    </comment>
    <comment ref="M87" authorId="0" shapeId="0" xr:uid="{00000000-0006-0000-0000-000037000000}">
      <text>
        <r>
          <rPr>
            <b/>
            <sz val="9"/>
            <color indexed="81"/>
            <rFont val="Tahoma"/>
            <family val="2"/>
          </rPr>
          <t>Cristiano:</t>
        </r>
        <r>
          <rPr>
            <sz val="9"/>
            <color indexed="81"/>
            <rFont val="Tahoma"/>
            <family val="2"/>
          </rPr>
          <t xml:space="preserve">
Indicare X</t>
        </r>
      </text>
    </comment>
    <comment ref="E95" authorId="0" shapeId="0" xr:uid="{00000000-0006-0000-0000-000038000000}">
      <text>
        <r>
          <rPr>
            <b/>
            <sz val="9"/>
            <color indexed="81"/>
            <rFont val="Tahoma"/>
            <family val="2"/>
          </rPr>
          <t>Cristiano:</t>
        </r>
        <r>
          <rPr>
            <sz val="9"/>
            <color indexed="81"/>
            <rFont val="Tahoma"/>
            <family val="2"/>
          </rPr>
          <t xml:space="preserve">
Indicare X</t>
        </r>
      </text>
    </comment>
    <comment ref="F95" authorId="0" shapeId="0" xr:uid="{00000000-0006-0000-0000-000039000000}">
      <text>
        <r>
          <rPr>
            <b/>
            <sz val="9"/>
            <color indexed="81"/>
            <rFont val="Tahoma"/>
            <family val="2"/>
          </rPr>
          <t>Cristiano:</t>
        </r>
        <r>
          <rPr>
            <sz val="9"/>
            <color indexed="81"/>
            <rFont val="Tahoma"/>
            <family val="2"/>
          </rPr>
          <t xml:space="preserve">
Indicare X</t>
        </r>
      </text>
    </comment>
    <comment ref="G95" authorId="0" shapeId="0" xr:uid="{00000000-0006-0000-0000-00003A000000}">
      <text>
        <r>
          <rPr>
            <b/>
            <sz val="9"/>
            <color indexed="81"/>
            <rFont val="Tahoma"/>
            <family val="2"/>
          </rPr>
          <t>Cristiano:</t>
        </r>
        <r>
          <rPr>
            <sz val="9"/>
            <color indexed="81"/>
            <rFont val="Tahoma"/>
            <family val="2"/>
          </rPr>
          <t xml:space="preserve">
Indicare X</t>
        </r>
      </text>
    </comment>
    <comment ref="L95" authorId="0" shapeId="0" xr:uid="{00000000-0006-0000-0000-00003B000000}">
      <text>
        <r>
          <rPr>
            <b/>
            <sz val="9"/>
            <color indexed="81"/>
            <rFont val="Tahoma"/>
            <family val="2"/>
          </rPr>
          <t>Cristiano:</t>
        </r>
        <r>
          <rPr>
            <sz val="9"/>
            <color indexed="81"/>
            <rFont val="Tahoma"/>
            <family val="2"/>
          </rPr>
          <t xml:space="preserve">
Indicare X</t>
        </r>
      </text>
    </comment>
    <comment ref="M95" authorId="0" shapeId="0" xr:uid="{00000000-0006-0000-0000-00003C000000}">
      <text>
        <r>
          <rPr>
            <b/>
            <sz val="9"/>
            <color indexed="81"/>
            <rFont val="Tahoma"/>
            <family val="2"/>
          </rPr>
          <t>Cristiano:</t>
        </r>
        <r>
          <rPr>
            <sz val="9"/>
            <color indexed="81"/>
            <rFont val="Tahoma"/>
            <family val="2"/>
          </rPr>
          <t xml:space="preserve">
Indicare X</t>
        </r>
      </text>
    </comment>
    <comment ref="F96" authorId="0" shapeId="0" xr:uid="{00000000-0006-0000-0000-00003D000000}">
      <text>
        <r>
          <rPr>
            <b/>
            <sz val="9"/>
            <color indexed="81"/>
            <rFont val="Tahoma"/>
            <family val="2"/>
          </rPr>
          <t>Cristiano:</t>
        </r>
        <r>
          <rPr>
            <sz val="9"/>
            <color indexed="81"/>
            <rFont val="Tahoma"/>
            <family val="2"/>
          </rPr>
          <t xml:space="preserve">
Indicare X</t>
        </r>
      </text>
    </comment>
    <comment ref="G96" authorId="0" shapeId="0" xr:uid="{00000000-0006-0000-0000-00003E000000}">
      <text>
        <r>
          <rPr>
            <b/>
            <sz val="9"/>
            <color indexed="81"/>
            <rFont val="Tahoma"/>
            <family val="2"/>
          </rPr>
          <t>Cristiano:</t>
        </r>
        <r>
          <rPr>
            <sz val="9"/>
            <color indexed="81"/>
            <rFont val="Tahoma"/>
            <family val="2"/>
          </rPr>
          <t xml:space="preserve">
Indicare X</t>
        </r>
      </text>
    </comment>
    <comment ref="L96" authorId="0" shapeId="0" xr:uid="{00000000-0006-0000-0000-00003F000000}">
      <text>
        <r>
          <rPr>
            <b/>
            <sz val="9"/>
            <color indexed="81"/>
            <rFont val="Tahoma"/>
            <family val="2"/>
          </rPr>
          <t>Cristiano:</t>
        </r>
        <r>
          <rPr>
            <sz val="9"/>
            <color indexed="81"/>
            <rFont val="Tahoma"/>
            <family val="2"/>
          </rPr>
          <t xml:space="preserve">
Indicare X</t>
        </r>
      </text>
    </comment>
    <comment ref="M96" authorId="0" shapeId="0" xr:uid="{00000000-0006-0000-0000-000040000000}">
      <text>
        <r>
          <rPr>
            <b/>
            <sz val="9"/>
            <color indexed="81"/>
            <rFont val="Tahoma"/>
            <family val="2"/>
          </rPr>
          <t>Cristiano:</t>
        </r>
        <r>
          <rPr>
            <sz val="9"/>
            <color indexed="81"/>
            <rFont val="Tahoma"/>
            <family val="2"/>
          </rPr>
          <t xml:space="preserve">
Indicare X</t>
        </r>
      </text>
    </comment>
    <comment ref="E97" authorId="0" shapeId="0" xr:uid="{00000000-0006-0000-0000-000041000000}">
      <text>
        <r>
          <rPr>
            <b/>
            <sz val="9"/>
            <color indexed="81"/>
            <rFont val="Tahoma"/>
            <family val="2"/>
          </rPr>
          <t>Cristiano:</t>
        </r>
        <r>
          <rPr>
            <sz val="9"/>
            <color indexed="81"/>
            <rFont val="Tahoma"/>
            <family val="2"/>
          </rPr>
          <t xml:space="preserve">
Indicare X</t>
        </r>
      </text>
    </comment>
    <comment ref="F97" authorId="0" shapeId="0" xr:uid="{00000000-0006-0000-0000-000042000000}">
      <text>
        <r>
          <rPr>
            <b/>
            <sz val="9"/>
            <color indexed="81"/>
            <rFont val="Tahoma"/>
            <family val="2"/>
          </rPr>
          <t>Cristiano:</t>
        </r>
        <r>
          <rPr>
            <sz val="9"/>
            <color indexed="81"/>
            <rFont val="Tahoma"/>
            <family val="2"/>
          </rPr>
          <t xml:space="preserve">
Indicare X</t>
        </r>
      </text>
    </comment>
    <comment ref="G97" authorId="0" shapeId="0" xr:uid="{00000000-0006-0000-0000-000043000000}">
      <text>
        <r>
          <rPr>
            <b/>
            <sz val="9"/>
            <color indexed="81"/>
            <rFont val="Tahoma"/>
            <family val="2"/>
          </rPr>
          <t>Cristiano:</t>
        </r>
        <r>
          <rPr>
            <sz val="9"/>
            <color indexed="81"/>
            <rFont val="Tahoma"/>
            <family val="2"/>
          </rPr>
          <t xml:space="preserve">
Indicare X</t>
        </r>
      </text>
    </comment>
    <comment ref="L97" authorId="0" shapeId="0" xr:uid="{00000000-0006-0000-0000-000044000000}">
      <text>
        <r>
          <rPr>
            <b/>
            <sz val="9"/>
            <color indexed="81"/>
            <rFont val="Tahoma"/>
            <family val="2"/>
          </rPr>
          <t>Cristiano:</t>
        </r>
        <r>
          <rPr>
            <sz val="9"/>
            <color indexed="81"/>
            <rFont val="Tahoma"/>
            <family val="2"/>
          </rPr>
          <t xml:space="preserve">
Indicare X</t>
        </r>
      </text>
    </comment>
    <comment ref="M97" authorId="0" shapeId="0" xr:uid="{00000000-0006-0000-0000-000045000000}">
      <text>
        <r>
          <rPr>
            <b/>
            <sz val="9"/>
            <color indexed="81"/>
            <rFont val="Tahoma"/>
            <family val="2"/>
          </rPr>
          <t>Cristiano:</t>
        </r>
        <r>
          <rPr>
            <sz val="9"/>
            <color indexed="81"/>
            <rFont val="Tahoma"/>
            <family val="2"/>
          </rPr>
          <t xml:space="preserve">
Indicare X</t>
        </r>
      </text>
    </comment>
    <comment ref="E98" authorId="0" shapeId="0" xr:uid="{00000000-0006-0000-0000-000046000000}">
      <text>
        <r>
          <rPr>
            <b/>
            <sz val="9"/>
            <color indexed="81"/>
            <rFont val="Tahoma"/>
            <family val="2"/>
          </rPr>
          <t>Cristiano:</t>
        </r>
        <r>
          <rPr>
            <sz val="9"/>
            <color indexed="81"/>
            <rFont val="Tahoma"/>
            <family val="2"/>
          </rPr>
          <t xml:space="preserve">
Indicare X</t>
        </r>
      </text>
    </comment>
    <comment ref="F98" authorId="0" shapeId="0" xr:uid="{00000000-0006-0000-0000-000047000000}">
      <text>
        <r>
          <rPr>
            <b/>
            <sz val="9"/>
            <color indexed="81"/>
            <rFont val="Tahoma"/>
            <family val="2"/>
          </rPr>
          <t>Cristiano:</t>
        </r>
        <r>
          <rPr>
            <sz val="9"/>
            <color indexed="81"/>
            <rFont val="Tahoma"/>
            <family val="2"/>
          </rPr>
          <t xml:space="preserve">
Indicare X</t>
        </r>
      </text>
    </comment>
    <comment ref="G98" authorId="0" shapeId="0" xr:uid="{00000000-0006-0000-0000-000048000000}">
      <text>
        <r>
          <rPr>
            <b/>
            <sz val="9"/>
            <color indexed="81"/>
            <rFont val="Tahoma"/>
            <family val="2"/>
          </rPr>
          <t>Cristiano:</t>
        </r>
        <r>
          <rPr>
            <sz val="9"/>
            <color indexed="81"/>
            <rFont val="Tahoma"/>
            <family val="2"/>
          </rPr>
          <t xml:space="preserve">
Indicare X</t>
        </r>
      </text>
    </comment>
    <comment ref="K98" authorId="0" shapeId="0" xr:uid="{00000000-0006-0000-0000-000049000000}">
      <text>
        <r>
          <rPr>
            <b/>
            <sz val="9"/>
            <color indexed="81"/>
            <rFont val="Tahoma"/>
            <family val="2"/>
          </rPr>
          <t>Cristiano:</t>
        </r>
        <r>
          <rPr>
            <sz val="9"/>
            <color indexed="81"/>
            <rFont val="Tahoma"/>
            <family val="2"/>
          </rPr>
          <t xml:space="preserve">
Indicare X</t>
        </r>
      </text>
    </comment>
    <comment ref="L98" authorId="0" shapeId="0" xr:uid="{00000000-0006-0000-0000-00004A000000}">
      <text>
        <r>
          <rPr>
            <b/>
            <sz val="9"/>
            <color indexed="81"/>
            <rFont val="Tahoma"/>
            <family val="2"/>
          </rPr>
          <t>Cristiano:</t>
        </r>
        <r>
          <rPr>
            <sz val="9"/>
            <color indexed="81"/>
            <rFont val="Tahoma"/>
            <family val="2"/>
          </rPr>
          <t xml:space="preserve">
Indicare X</t>
        </r>
      </text>
    </comment>
    <comment ref="M98" authorId="0" shapeId="0" xr:uid="{00000000-0006-0000-0000-00004B000000}">
      <text>
        <r>
          <rPr>
            <b/>
            <sz val="9"/>
            <color indexed="81"/>
            <rFont val="Tahoma"/>
            <family val="2"/>
          </rPr>
          <t>Cristiano:</t>
        </r>
        <r>
          <rPr>
            <sz val="9"/>
            <color indexed="81"/>
            <rFont val="Tahoma"/>
            <family val="2"/>
          </rPr>
          <t xml:space="preserve">
Indicare X</t>
        </r>
      </text>
    </comment>
    <comment ref="F103" authorId="0" shapeId="0" xr:uid="{00000000-0006-0000-0000-00004C000000}">
      <text>
        <r>
          <rPr>
            <b/>
            <sz val="9"/>
            <color indexed="81"/>
            <rFont val="Tahoma"/>
            <family val="2"/>
          </rPr>
          <t>Cristiano:</t>
        </r>
        <r>
          <rPr>
            <sz val="9"/>
            <color indexed="81"/>
            <rFont val="Tahoma"/>
            <family val="2"/>
          </rPr>
          <t xml:space="preserve">
Indicare X</t>
        </r>
      </text>
    </comment>
    <comment ref="G103" authorId="0" shapeId="0" xr:uid="{00000000-0006-0000-0000-00004D000000}">
      <text>
        <r>
          <rPr>
            <b/>
            <sz val="9"/>
            <color indexed="81"/>
            <rFont val="Tahoma"/>
            <family val="2"/>
          </rPr>
          <t>Cristiano:</t>
        </r>
        <r>
          <rPr>
            <sz val="9"/>
            <color indexed="81"/>
            <rFont val="Tahoma"/>
            <family val="2"/>
          </rPr>
          <t xml:space="preserve">
Indicare X</t>
        </r>
      </text>
    </comment>
    <comment ref="L103" authorId="0" shapeId="0" xr:uid="{00000000-0006-0000-0000-00004E000000}">
      <text>
        <r>
          <rPr>
            <b/>
            <sz val="9"/>
            <color indexed="81"/>
            <rFont val="Tahoma"/>
            <family val="2"/>
          </rPr>
          <t>Cristiano:</t>
        </r>
        <r>
          <rPr>
            <sz val="9"/>
            <color indexed="81"/>
            <rFont val="Tahoma"/>
            <family val="2"/>
          </rPr>
          <t xml:space="preserve">
Indicare X</t>
        </r>
      </text>
    </comment>
    <comment ref="M103" authorId="0" shapeId="0" xr:uid="{00000000-0006-0000-0000-00004F000000}">
      <text>
        <r>
          <rPr>
            <b/>
            <sz val="9"/>
            <color indexed="81"/>
            <rFont val="Tahoma"/>
            <family val="2"/>
          </rPr>
          <t>Cristiano:</t>
        </r>
        <r>
          <rPr>
            <sz val="9"/>
            <color indexed="81"/>
            <rFont val="Tahoma"/>
            <family val="2"/>
          </rPr>
          <t xml:space="preserve">
Indicare X</t>
        </r>
      </text>
    </comment>
    <comment ref="L104" authorId="0" shapeId="0" xr:uid="{00000000-0006-0000-0000-000050000000}">
      <text>
        <r>
          <rPr>
            <b/>
            <sz val="9"/>
            <color indexed="81"/>
            <rFont val="Tahoma"/>
            <family val="2"/>
          </rPr>
          <t>Cristiano:</t>
        </r>
        <r>
          <rPr>
            <sz val="9"/>
            <color indexed="81"/>
            <rFont val="Tahoma"/>
            <family val="2"/>
          </rPr>
          <t xml:space="preserve">
Indicare X</t>
        </r>
      </text>
    </comment>
    <comment ref="M104" authorId="0" shapeId="0" xr:uid="{00000000-0006-0000-0000-000051000000}">
      <text>
        <r>
          <rPr>
            <b/>
            <sz val="9"/>
            <color indexed="81"/>
            <rFont val="Tahoma"/>
            <family val="2"/>
          </rPr>
          <t>Cristiano:</t>
        </r>
        <r>
          <rPr>
            <sz val="9"/>
            <color indexed="81"/>
            <rFont val="Tahoma"/>
            <family val="2"/>
          </rPr>
          <t xml:space="preserve">
Indicare X</t>
        </r>
      </text>
    </comment>
    <comment ref="F105" authorId="0" shapeId="0" xr:uid="{00000000-0006-0000-0000-000052000000}">
      <text>
        <r>
          <rPr>
            <b/>
            <sz val="9"/>
            <color indexed="81"/>
            <rFont val="Tahoma"/>
            <family val="2"/>
          </rPr>
          <t>Cristiano:</t>
        </r>
        <r>
          <rPr>
            <sz val="9"/>
            <color indexed="81"/>
            <rFont val="Tahoma"/>
            <family val="2"/>
          </rPr>
          <t xml:space="preserve">
Indicare X</t>
        </r>
      </text>
    </comment>
    <comment ref="G105" authorId="0" shapeId="0" xr:uid="{00000000-0006-0000-0000-000053000000}">
      <text>
        <r>
          <rPr>
            <b/>
            <sz val="9"/>
            <color indexed="81"/>
            <rFont val="Tahoma"/>
            <family val="2"/>
          </rPr>
          <t>Cristiano:</t>
        </r>
        <r>
          <rPr>
            <sz val="9"/>
            <color indexed="81"/>
            <rFont val="Tahoma"/>
            <family val="2"/>
          </rPr>
          <t xml:space="preserve">
Indicare X</t>
        </r>
      </text>
    </comment>
    <comment ref="L105" authorId="0" shapeId="0" xr:uid="{00000000-0006-0000-0000-000054000000}">
      <text>
        <r>
          <rPr>
            <b/>
            <sz val="9"/>
            <color indexed="81"/>
            <rFont val="Tahoma"/>
            <family val="2"/>
          </rPr>
          <t>Cristiano:</t>
        </r>
        <r>
          <rPr>
            <sz val="9"/>
            <color indexed="81"/>
            <rFont val="Tahoma"/>
            <family val="2"/>
          </rPr>
          <t xml:space="preserve">
Indicare X</t>
        </r>
      </text>
    </comment>
    <comment ref="M105" authorId="0" shapeId="0" xr:uid="{00000000-0006-0000-0000-000055000000}">
      <text>
        <r>
          <rPr>
            <b/>
            <sz val="9"/>
            <color indexed="81"/>
            <rFont val="Tahoma"/>
            <family val="2"/>
          </rPr>
          <t>Cristiano:</t>
        </r>
        <r>
          <rPr>
            <sz val="9"/>
            <color indexed="81"/>
            <rFont val="Tahoma"/>
            <family val="2"/>
          </rPr>
          <t xml:space="preserve">
Indicare X</t>
        </r>
      </text>
    </comment>
    <comment ref="L106" authorId="0" shapeId="0" xr:uid="{00000000-0006-0000-0000-000056000000}">
      <text>
        <r>
          <rPr>
            <b/>
            <sz val="9"/>
            <color indexed="81"/>
            <rFont val="Tahoma"/>
            <family val="2"/>
          </rPr>
          <t>Cristiano:</t>
        </r>
        <r>
          <rPr>
            <sz val="9"/>
            <color indexed="81"/>
            <rFont val="Tahoma"/>
            <family val="2"/>
          </rPr>
          <t xml:space="preserve">
Indicare X</t>
        </r>
      </text>
    </comment>
    <comment ref="M106" authorId="0" shapeId="0" xr:uid="{00000000-0006-0000-0000-000057000000}">
      <text>
        <r>
          <rPr>
            <b/>
            <sz val="9"/>
            <color indexed="81"/>
            <rFont val="Tahoma"/>
            <family val="2"/>
          </rPr>
          <t>Cristiano:</t>
        </r>
        <r>
          <rPr>
            <sz val="9"/>
            <color indexed="81"/>
            <rFont val="Tahoma"/>
            <family val="2"/>
          </rPr>
          <t xml:space="preserve">
Indicare X</t>
        </r>
      </text>
    </comment>
    <comment ref="F107" authorId="0" shapeId="0" xr:uid="{00000000-0006-0000-0000-000058000000}">
      <text>
        <r>
          <rPr>
            <b/>
            <sz val="9"/>
            <color indexed="81"/>
            <rFont val="Tahoma"/>
            <family val="2"/>
          </rPr>
          <t>Cristiano:</t>
        </r>
        <r>
          <rPr>
            <sz val="9"/>
            <color indexed="81"/>
            <rFont val="Tahoma"/>
            <family val="2"/>
          </rPr>
          <t xml:space="preserve">
Indicare X</t>
        </r>
      </text>
    </comment>
    <comment ref="G107" authorId="0" shapeId="0" xr:uid="{00000000-0006-0000-0000-000059000000}">
      <text>
        <r>
          <rPr>
            <b/>
            <sz val="9"/>
            <color indexed="81"/>
            <rFont val="Tahoma"/>
            <family val="2"/>
          </rPr>
          <t>Cristiano:</t>
        </r>
        <r>
          <rPr>
            <sz val="9"/>
            <color indexed="81"/>
            <rFont val="Tahoma"/>
            <family val="2"/>
          </rPr>
          <t xml:space="preserve">
Indicare X</t>
        </r>
      </text>
    </comment>
    <comment ref="L107" authorId="0" shapeId="0" xr:uid="{00000000-0006-0000-0000-00005A000000}">
      <text>
        <r>
          <rPr>
            <b/>
            <sz val="9"/>
            <color indexed="81"/>
            <rFont val="Tahoma"/>
            <family val="2"/>
          </rPr>
          <t>Cristiano:</t>
        </r>
        <r>
          <rPr>
            <sz val="9"/>
            <color indexed="81"/>
            <rFont val="Tahoma"/>
            <family val="2"/>
          </rPr>
          <t xml:space="preserve">
Indicare X</t>
        </r>
      </text>
    </comment>
    <comment ref="M107" authorId="0" shapeId="0" xr:uid="{00000000-0006-0000-0000-00005B000000}">
      <text>
        <r>
          <rPr>
            <b/>
            <sz val="9"/>
            <color indexed="81"/>
            <rFont val="Tahoma"/>
            <family val="2"/>
          </rPr>
          <t>Cristiano:</t>
        </r>
        <r>
          <rPr>
            <sz val="9"/>
            <color indexed="81"/>
            <rFont val="Tahoma"/>
            <family val="2"/>
          </rPr>
          <t xml:space="preserve">
Indicare X</t>
        </r>
      </text>
    </comment>
    <comment ref="F112" authorId="0" shapeId="0" xr:uid="{00000000-0006-0000-0000-00005C000000}">
      <text>
        <r>
          <rPr>
            <b/>
            <sz val="9"/>
            <color indexed="81"/>
            <rFont val="Tahoma"/>
            <family val="2"/>
          </rPr>
          <t>Cristiano:</t>
        </r>
        <r>
          <rPr>
            <sz val="9"/>
            <color indexed="81"/>
            <rFont val="Tahoma"/>
            <family val="2"/>
          </rPr>
          <t xml:space="preserve">
Indicare X</t>
        </r>
      </text>
    </comment>
    <comment ref="G112" authorId="0" shapeId="0" xr:uid="{00000000-0006-0000-0000-00005D000000}">
      <text>
        <r>
          <rPr>
            <b/>
            <sz val="9"/>
            <color indexed="81"/>
            <rFont val="Tahoma"/>
            <family val="2"/>
          </rPr>
          <t>Cristiano:</t>
        </r>
        <r>
          <rPr>
            <sz val="9"/>
            <color indexed="81"/>
            <rFont val="Tahoma"/>
            <family val="2"/>
          </rPr>
          <t xml:space="preserve">
Indicare X</t>
        </r>
      </text>
    </comment>
    <comment ref="H112" authorId="0" shapeId="0" xr:uid="{00000000-0006-0000-0000-00005E000000}">
      <text>
        <r>
          <rPr>
            <b/>
            <sz val="9"/>
            <color indexed="81"/>
            <rFont val="Tahoma"/>
            <family val="2"/>
          </rPr>
          <t>Cristiano:</t>
        </r>
        <r>
          <rPr>
            <sz val="9"/>
            <color indexed="81"/>
            <rFont val="Tahoma"/>
            <family val="2"/>
          </rPr>
          <t xml:space="preserve">
Indicare X</t>
        </r>
      </text>
    </comment>
    <comment ref="I112" authorId="0" shapeId="0" xr:uid="{00000000-0006-0000-0000-00005F000000}">
      <text>
        <r>
          <rPr>
            <b/>
            <sz val="9"/>
            <color indexed="81"/>
            <rFont val="Tahoma"/>
            <family val="2"/>
          </rPr>
          <t>Cristiano:</t>
        </r>
        <r>
          <rPr>
            <sz val="9"/>
            <color indexed="81"/>
            <rFont val="Tahoma"/>
            <family val="2"/>
          </rPr>
          <t xml:space="preserve">
Indicare X</t>
        </r>
      </text>
    </comment>
    <comment ref="F114" authorId="0" shapeId="0" xr:uid="{00000000-0006-0000-0000-000060000000}">
      <text>
        <r>
          <rPr>
            <b/>
            <sz val="9"/>
            <color indexed="81"/>
            <rFont val="Tahoma"/>
            <family val="2"/>
          </rPr>
          <t>Cristiano:</t>
        </r>
        <r>
          <rPr>
            <sz val="9"/>
            <color indexed="81"/>
            <rFont val="Tahoma"/>
            <family val="2"/>
          </rPr>
          <t xml:space="preserve">
Indicare X</t>
        </r>
      </text>
    </comment>
    <comment ref="G114" authorId="0" shapeId="0" xr:uid="{00000000-0006-0000-0000-000061000000}">
      <text>
        <r>
          <rPr>
            <b/>
            <sz val="9"/>
            <color indexed="81"/>
            <rFont val="Tahoma"/>
            <family val="2"/>
          </rPr>
          <t>Cristiano:</t>
        </r>
        <r>
          <rPr>
            <sz val="9"/>
            <color indexed="81"/>
            <rFont val="Tahoma"/>
            <family val="2"/>
          </rPr>
          <t xml:space="preserve">
Indicare X</t>
        </r>
      </text>
    </comment>
    <comment ref="H114" authorId="0" shapeId="0" xr:uid="{00000000-0006-0000-0000-000062000000}">
      <text>
        <r>
          <rPr>
            <b/>
            <sz val="9"/>
            <color indexed="81"/>
            <rFont val="Tahoma"/>
            <family val="2"/>
          </rPr>
          <t>Cristiano:</t>
        </r>
        <r>
          <rPr>
            <sz val="9"/>
            <color indexed="81"/>
            <rFont val="Tahoma"/>
            <family val="2"/>
          </rPr>
          <t xml:space="preserve">
Indicare X</t>
        </r>
      </text>
    </comment>
    <comment ref="I114" authorId="0" shapeId="0" xr:uid="{00000000-0006-0000-0000-000063000000}">
      <text>
        <r>
          <rPr>
            <b/>
            <sz val="9"/>
            <color indexed="81"/>
            <rFont val="Tahoma"/>
            <family val="2"/>
          </rPr>
          <t>Cristiano:</t>
        </r>
        <r>
          <rPr>
            <sz val="9"/>
            <color indexed="81"/>
            <rFont val="Tahoma"/>
            <family val="2"/>
          </rPr>
          <t xml:space="preserve">
Indicare X</t>
        </r>
      </text>
    </comment>
    <comment ref="J114" authorId="0" shapeId="0" xr:uid="{00000000-0006-0000-0000-000064000000}">
      <text>
        <r>
          <rPr>
            <b/>
            <sz val="9"/>
            <color indexed="81"/>
            <rFont val="Tahoma"/>
            <family val="2"/>
          </rPr>
          <t>Cristiano:</t>
        </r>
        <r>
          <rPr>
            <sz val="9"/>
            <color indexed="81"/>
            <rFont val="Tahoma"/>
            <family val="2"/>
          </rPr>
          <t xml:space="preserve">
Indicare X</t>
        </r>
      </text>
    </comment>
    <comment ref="K114" authorId="0" shapeId="0" xr:uid="{00000000-0006-0000-0000-000065000000}">
      <text>
        <r>
          <rPr>
            <b/>
            <sz val="9"/>
            <color indexed="81"/>
            <rFont val="Tahoma"/>
            <family val="2"/>
          </rPr>
          <t>Cristiano:</t>
        </r>
        <r>
          <rPr>
            <sz val="9"/>
            <color indexed="81"/>
            <rFont val="Tahoma"/>
            <family val="2"/>
          </rPr>
          <t xml:space="preserve">
Indicare X</t>
        </r>
      </text>
    </comment>
    <comment ref="L114" authorId="0" shapeId="0" xr:uid="{00000000-0006-0000-0000-000066000000}">
      <text>
        <r>
          <rPr>
            <b/>
            <sz val="9"/>
            <color indexed="81"/>
            <rFont val="Tahoma"/>
            <family val="2"/>
          </rPr>
          <t>Cristiano:</t>
        </r>
        <r>
          <rPr>
            <sz val="9"/>
            <color indexed="81"/>
            <rFont val="Tahoma"/>
            <family val="2"/>
          </rPr>
          <t xml:space="preserve">
Indicare X</t>
        </r>
      </text>
    </comment>
    <comment ref="M114" authorId="0" shapeId="0" xr:uid="{00000000-0006-0000-0000-000067000000}">
      <text>
        <r>
          <rPr>
            <b/>
            <sz val="9"/>
            <color indexed="81"/>
            <rFont val="Tahoma"/>
            <family val="2"/>
          </rPr>
          <t>Cristiano:</t>
        </r>
        <r>
          <rPr>
            <sz val="9"/>
            <color indexed="81"/>
            <rFont val="Tahoma"/>
            <family val="2"/>
          </rPr>
          <t xml:space="preserve">
Indicare X</t>
        </r>
      </text>
    </comment>
    <comment ref="D115" authorId="0" shapeId="0" xr:uid="{00000000-0006-0000-0000-000068000000}">
      <text>
        <r>
          <rPr>
            <b/>
            <sz val="9"/>
            <color indexed="81"/>
            <rFont val="Tahoma"/>
            <family val="2"/>
          </rPr>
          <t>Cristiano:</t>
        </r>
        <r>
          <rPr>
            <sz val="9"/>
            <color indexed="81"/>
            <rFont val="Tahoma"/>
            <family val="2"/>
          </rPr>
          <t xml:space="preserve">
Indicare X</t>
        </r>
      </text>
    </comment>
    <comment ref="F115" authorId="0" shapeId="0" xr:uid="{00000000-0006-0000-0000-000069000000}">
      <text>
        <r>
          <rPr>
            <b/>
            <sz val="9"/>
            <color indexed="81"/>
            <rFont val="Tahoma"/>
            <family val="2"/>
          </rPr>
          <t>Cristiano:</t>
        </r>
        <r>
          <rPr>
            <sz val="9"/>
            <color indexed="81"/>
            <rFont val="Tahoma"/>
            <family val="2"/>
          </rPr>
          <t xml:space="preserve">
Indicare X</t>
        </r>
      </text>
    </comment>
    <comment ref="K117" authorId="0" shapeId="0" xr:uid="{00000000-0006-0000-0000-00006A000000}">
      <text>
        <r>
          <rPr>
            <b/>
            <sz val="9"/>
            <color indexed="81"/>
            <rFont val="Tahoma"/>
            <family val="2"/>
          </rPr>
          <t>Cristiano:</t>
        </r>
        <r>
          <rPr>
            <sz val="9"/>
            <color indexed="81"/>
            <rFont val="Tahoma"/>
            <family val="2"/>
          </rPr>
          <t xml:space="preserve">
Indicare X</t>
        </r>
      </text>
    </comment>
    <comment ref="L117" authorId="0" shapeId="0" xr:uid="{00000000-0006-0000-0000-00006B000000}">
      <text>
        <r>
          <rPr>
            <b/>
            <sz val="9"/>
            <color indexed="81"/>
            <rFont val="Tahoma"/>
            <family val="2"/>
          </rPr>
          <t>Cristiano:</t>
        </r>
        <r>
          <rPr>
            <sz val="9"/>
            <color indexed="81"/>
            <rFont val="Tahoma"/>
            <family val="2"/>
          </rPr>
          <t xml:space="preserve">
Indicare X</t>
        </r>
      </text>
    </comment>
    <comment ref="M117" authorId="0" shapeId="0" xr:uid="{00000000-0006-0000-0000-00006C000000}">
      <text>
        <r>
          <rPr>
            <b/>
            <sz val="9"/>
            <color indexed="81"/>
            <rFont val="Tahoma"/>
            <family val="2"/>
          </rPr>
          <t>Cristiano:</t>
        </r>
        <r>
          <rPr>
            <sz val="9"/>
            <color indexed="81"/>
            <rFont val="Tahoma"/>
            <family val="2"/>
          </rPr>
          <t xml:space="preserve">
Indicare X</t>
        </r>
      </text>
    </comment>
    <comment ref="F119" authorId="0" shapeId="0" xr:uid="{00000000-0006-0000-0000-00006D000000}">
      <text>
        <r>
          <rPr>
            <b/>
            <sz val="9"/>
            <color indexed="81"/>
            <rFont val="Tahoma"/>
            <family val="2"/>
          </rPr>
          <t>Cristiano:</t>
        </r>
        <r>
          <rPr>
            <sz val="9"/>
            <color indexed="81"/>
            <rFont val="Tahoma"/>
            <family val="2"/>
          </rPr>
          <t xml:space="preserve">
Indicare X</t>
        </r>
      </text>
    </comment>
    <comment ref="G119" authorId="0" shapeId="0" xr:uid="{00000000-0006-0000-0000-00006E000000}">
      <text>
        <r>
          <rPr>
            <b/>
            <sz val="9"/>
            <color indexed="81"/>
            <rFont val="Tahoma"/>
            <family val="2"/>
          </rPr>
          <t>Cristiano:</t>
        </r>
        <r>
          <rPr>
            <sz val="9"/>
            <color indexed="81"/>
            <rFont val="Tahoma"/>
            <family val="2"/>
          </rPr>
          <t xml:space="preserve">
Indicare X</t>
        </r>
      </text>
    </comment>
    <comment ref="J119" authorId="0" shapeId="0" xr:uid="{00000000-0006-0000-0000-00006F000000}">
      <text>
        <r>
          <rPr>
            <b/>
            <sz val="9"/>
            <color indexed="81"/>
            <rFont val="Tahoma"/>
            <family val="2"/>
          </rPr>
          <t>Cristiano:</t>
        </r>
        <r>
          <rPr>
            <sz val="9"/>
            <color indexed="81"/>
            <rFont val="Tahoma"/>
            <family val="2"/>
          </rPr>
          <t xml:space="preserve">
Indicare X</t>
        </r>
      </text>
    </comment>
    <comment ref="L119" authorId="0" shapeId="0" xr:uid="{00000000-0006-0000-0000-000070000000}">
      <text>
        <r>
          <rPr>
            <b/>
            <sz val="9"/>
            <color indexed="81"/>
            <rFont val="Tahoma"/>
            <family val="2"/>
          </rPr>
          <t>Cristiano:</t>
        </r>
        <r>
          <rPr>
            <sz val="9"/>
            <color indexed="81"/>
            <rFont val="Tahoma"/>
            <family val="2"/>
          </rPr>
          <t xml:space="preserve">
Indicare X</t>
        </r>
      </text>
    </comment>
    <comment ref="K120" authorId="0" shapeId="0" xr:uid="{00000000-0006-0000-0000-000071000000}">
      <text>
        <r>
          <rPr>
            <b/>
            <sz val="9"/>
            <color indexed="81"/>
            <rFont val="Tahoma"/>
            <family val="2"/>
          </rPr>
          <t>Cristiano:</t>
        </r>
        <r>
          <rPr>
            <sz val="9"/>
            <color indexed="81"/>
            <rFont val="Tahoma"/>
            <family val="2"/>
          </rPr>
          <t xml:space="preserve">
Indicare X</t>
        </r>
      </text>
    </comment>
    <comment ref="M120" authorId="0" shapeId="0" xr:uid="{00000000-0006-0000-0000-000072000000}">
      <text>
        <r>
          <rPr>
            <b/>
            <sz val="9"/>
            <color indexed="81"/>
            <rFont val="Tahoma"/>
            <family val="2"/>
          </rPr>
          <t>Cristiano:</t>
        </r>
        <r>
          <rPr>
            <sz val="9"/>
            <color indexed="81"/>
            <rFont val="Tahoma"/>
            <family val="2"/>
          </rPr>
          <t xml:space="preserve">
Indicare X</t>
        </r>
      </text>
    </comment>
    <comment ref="K124" authorId="0" shapeId="0" xr:uid="{00000000-0006-0000-0000-000073000000}">
      <text>
        <r>
          <rPr>
            <b/>
            <sz val="9"/>
            <color indexed="81"/>
            <rFont val="Tahoma"/>
            <family val="2"/>
          </rPr>
          <t>Cristiano:</t>
        </r>
        <r>
          <rPr>
            <sz val="9"/>
            <color indexed="81"/>
            <rFont val="Tahoma"/>
            <family val="2"/>
          </rPr>
          <t xml:space="preserve">
Indicare X</t>
        </r>
      </text>
    </comment>
    <comment ref="M124" authorId="0" shapeId="0" xr:uid="{00000000-0006-0000-0000-000074000000}">
      <text>
        <r>
          <rPr>
            <b/>
            <sz val="9"/>
            <color indexed="81"/>
            <rFont val="Tahoma"/>
            <family val="2"/>
          </rPr>
          <t>Cristiano:</t>
        </r>
        <r>
          <rPr>
            <sz val="9"/>
            <color indexed="81"/>
            <rFont val="Tahoma"/>
            <family val="2"/>
          </rPr>
          <t xml:space="preserve">
Indicare X</t>
        </r>
      </text>
    </comment>
    <comment ref="K125" authorId="0" shapeId="0" xr:uid="{00000000-0006-0000-0000-000075000000}">
      <text>
        <r>
          <rPr>
            <b/>
            <sz val="9"/>
            <color indexed="81"/>
            <rFont val="Tahoma"/>
            <family val="2"/>
          </rPr>
          <t>Cristiano:</t>
        </r>
        <r>
          <rPr>
            <sz val="9"/>
            <color indexed="81"/>
            <rFont val="Tahoma"/>
            <family val="2"/>
          </rPr>
          <t xml:space="preserve">
Indicare X</t>
        </r>
      </text>
    </comment>
    <comment ref="M125" authorId="0" shapeId="0" xr:uid="{00000000-0006-0000-0000-000076000000}">
      <text>
        <r>
          <rPr>
            <b/>
            <sz val="9"/>
            <color indexed="81"/>
            <rFont val="Tahoma"/>
            <family val="2"/>
          </rPr>
          <t>Cristiano:</t>
        </r>
        <r>
          <rPr>
            <sz val="9"/>
            <color indexed="81"/>
            <rFont val="Tahoma"/>
            <family val="2"/>
          </rPr>
          <t xml:space="preserve">
Indicare X</t>
        </r>
      </text>
    </comment>
    <comment ref="F128" authorId="0" shapeId="0" xr:uid="{00000000-0006-0000-0000-000077000000}">
      <text>
        <r>
          <rPr>
            <b/>
            <sz val="9"/>
            <color indexed="81"/>
            <rFont val="Tahoma"/>
            <family val="2"/>
          </rPr>
          <t>Cristiano:</t>
        </r>
        <r>
          <rPr>
            <sz val="9"/>
            <color indexed="81"/>
            <rFont val="Tahoma"/>
            <family val="2"/>
          </rPr>
          <t xml:space="preserve">
Indicare X</t>
        </r>
      </text>
    </comment>
    <comment ref="G128" authorId="0" shapeId="0" xr:uid="{00000000-0006-0000-0000-000078000000}">
      <text>
        <r>
          <rPr>
            <b/>
            <sz val="9"/>
            <color indexed="81"/>
            <rFont val="Tahoma"/>
            <family val="2"/>
          </rPr>
          <t>Cristiano:</t>
        </r>
        <r>
          <rPr>
            <sz val="9"/>
            <color indexed="81"/>
            <rFont val="Tahoma"/>
            <family val="2"/>
          </rPr>
          <t xml:space="preserve">
Indicare X</t>
        </r>
      </text>
    </comment>
    <comment ref="L128" authorId="0" shapeId="0" xr:uid="{00000000-0006-0000-0000-000079000000}">
      <text>
        <r>
          <rPr>
            <b/>
            <sz val="9"/>
            <color indexed="81"/>
            <rFont val="Tahoma"/>
            <family val="2"/>
          </rPr>
          <t>Cristiano:</t>
        </r>
        <r>
          <rPr>
            <sz val="9"/>
            <color indexed="81"/>
            <rFont val="Tahoma"/>
            <family val="2"/>
          </rPr>
          <t xml:space="preserve">
Indicare X</t>
        </r>
      </text>
    </comment>
    <comment ref="M128" authorId="0" shapeId="0" xr:uid="{00000000-0006-0000-0000-00007A000000}">
      <text>
        <r>
          <rPr>
            <b/>
            <sz val="9"/>
            <color indexed="81"/>
            <rFont val="Tahoma"/>
            <family val="2"/>
          </rPr>
          <t>Cristiano:</t>
        </r>
        <r>
          <rPr>
            <sz val="9"/>
            <color indexed="81"/>
            <rFont val="Tahoma"/>
            <family val="2"/>
          </rPr>
          <t xml:space="preserve">
Indicare X</t>
        </r>
      </text>
    </comment>
    <comment ref="F133" authorId="0" shapeId="0" xr:uid="{00000000-0006-0000-0000-00007B000000}">
      <text>
        <r>
          <rPr>
            <b/>
            <sz val="9"/>
            <color indexed="81"/>
            <rFont val="Tahoma"/>
            <family val="2"/>
          </rPr>
          <t>Cristiano:</t>
        </r>
        <r>
          <rPr>
            <sz val="9"/>
            <color indexed="81"/>
            <rFont val="Tahoma"/>
            <family val="2"/>
          </rPr>
          <t xml:space="preserve">
Indicare X</t>
        </r>
      </text>
    </comment>
    <comment ref="G133" authorId="0" shapeId="0" xr:uid="{00000000-0006-0000-0000-00007C000000}">
      <text>
        <r>
          <rPr>
            <b/>
            <sz val="9"/>
            <color indexed="81"/>
            <rFont val="Tahoma"/>
            <family val="2"/>
          </rPr>
          <t>Cristiano:</t>
        </r>
        <r>
          <rPr>
            <sz val="9"/>
            <color indexed="81"/>
            <rFont val="Tahoma"/>
            <family val="2"/>
          </rPr>
          <t xml:space="preserve">
Indicare X</t>
        </r>
      </text>
    </comment>
    <comment ref="L133" authorId="0" shapeId="0" xr:uid="{00000000-0006-0000-0000-00007D000000}">
      <text>
        <r>
          <rPr>
            <b/>
            <sz val="9"/>
            <color indexed="81"/>
            <rFont val="Tahoma"/>
            <family val="2"/>
          </rPr>
          <t>Cristiano:</t>
        </r>
        <r>
          <rPr>
            <sz val="9"/>
            <color indexed="81"/>
            <rFont val="Tahoma"/>
            <family val="2"/>
          </rPr>
          <t xml:space="preserve">
Indicare X</t>
        </r>
      </text>
    </comment>
    <comment ref="M133" authorId="0" shapeId="0" xr:uid="{00000000-0006-0000-0000-00007E000000}">
      <text>
        <r>
          <rPr>
            <b/>
            <sz val="9"/>
            <color indexed="81"/>
            <rFont val="Tahoma"/>
            <family val="2"/>
          </rPr>
          <t>Cristiano:</t>
        </r>
        <r>
          <rPr>
            <sz val="9"/>
            <color indexed="81"/>
            <rFont val="Tahoma"/>
            <family val="2"/>
          </rPr>
          <t xml:space="preserve">
Indicare X</t>
        </r>
      </text>
    </comment>
    <comment ref="F134" authorId="0" shapeId="0" xr:uid="{00000000-0006-0000-0000-00007F000000}">
      <text>
        <r>
          <rPr>
            <b/>
            <sz val="9"/>
            <color indexed="81"/>
            <rFont val="Tahoma"/>
            <family val="2"/>
          </rPr>
          <t>Cristiano:</t>
        </r>
        <r>
          <rPr>
            <sz val="9"/>
            <color indexed="81"/>
            <rFont val="Tahoma"/>
            <family val="2"/>
          </rPr>
          <t xml:space="preserve">
Indicare X</t>
        </r>
      </text>
    </comment>
    <comment ref="G134" authorId="0" shapeId="0" xr:uid="{00000000-0006-0000-0000-000080000000}">
      <text>
        <r>
          <rPr>
            <b/>
            <sz val="9"/>
            <color indexed="81"/>
            <rFont val="Tahoma"/>
            <family val="2"/>
          </rPr>
          <t>Cristiano:</t>
        </r>
        <r>
          <rPr>
            <sz val="9"/>
            <color indexed="81"/>
            <rFont val="Tahoma"/>
            <family val="2"/>
          </rPr>
          <t xml:space="preserve">
Indicare X</t>
        </r>
      </text>
    </comment>
    <comment ref="L134" authorId="0" shapeId="0" xr:uid="{00000000-0006-0000-0000-000081000000}">
      <text>
        <r>
          <rPr>
            <b/>
            <sz val="9"/>
            <color indexed="81"/>
            <rFont val="Tahoma"/>
            <family val="2"/>
          </rPr>
          <t>Cristiano:</t>
        </r>
        <r>
          <rPr>
            <sz val="9"/>
            <color indexed="81"/>
            <rFont val="Tahoma"/>
            <family val="2"/>
          </rPr>
          <t xml:space="preserve">
Indicare X</t>
        </r>
      </text>
    </comment>
    <comment ref="M134" authorId="0" shapeId="0" xr:uid="{00000000-0006-0000-0000-000082000000}">
      <text>
        <r>
          <rPr>
            <b/>
            <sz val="9"/>
            <color indexed="81"/>
            <rFont val="Tahoma"/>
            <family val="2"/>
          </rPr>
          <t>Cristiano:</t>
        </r>
        <r>
          <rPr>
            <sz val="9"/>
            <color indexed="81"/>
            <rFont val="Tahoma"/>
            <family val="2"/>
          </rPr>
          <t xml:space="preserve">
Indicare X</t>
        </r>
      </text>
    </comment>
    <comment ref="F135" authorId="0" shapeId="0" xr:uid="{00000000-0006-0000-0000-000083000000}">
      <text>
        <r>
          <rPr>
            <b/>
            <sz val="9"/>
            <color indexed="81"/>
            <rFont val="Tahoma"/>
            <family val="2"/>
          </rPr>
          <t>Cristiano:</t>
        </r>
        <r>
          <rPr>
            <sz val="9"/>
            <color indexed="81"/>
            <rFont val="Tahoma"/>
            <family val="2"/>
          </rPr>
          <t xml:space="preserve">
Indicare X</t>
        </r>
      </text>
    </comment>
    <comment ref="G135" authorId="0" shapeId="0" xr:uid="{00000000-0006-0000-0000-000084000000}">
      <text>
        <r>
          <rPr>
            <b/>
            <sz val="9"/>
            <color indexed="81"/>
            <rFont val="Tahoma"/>
            <family val="2"/>
          </rPr>
          <t>Cristiano:</t>
        </r>
        <r>
          <rPr>
            <sz val="9"/>
            <color indexed="81"/>
            <rFont val="Tahoma"/>
            <family val="2"/>
          </rPr>
          <t xml:space="preserve">
Indicare X</t>
        </r>
      </text>
    </comment>
    <comment ref="L135" authorId="0" shapeId="0" xr:uid="{00000000-0006-0000-0000-000085000000}">
      <text>
        <r>
          <rPr>
            <b/>
            <sz val="9"/>
            <color indexed="81"/>
            <rFont val="Tahoma"/>
            <family val="2"/>
          </rPr>
          <t>Cristiano:</t>
        </r>
        <r>
          <rPr>
            <sz val="9"/>
            <color indexed="81"/>
            <rFont val="Tahoma"/>
            <family val="2"/>
          </rPr>
          <t xml:space="preserve">
Indicare X</t>
        </r>
      </text>
    </comment>
    <comment ref="M135" authorId="0" shapeId="0" xr:uid="{00000000-0006-0000-0000-000086000000}">
      <text>
        <r>
          <rPr>
            <b/>
            <sz val="9"/>
            <color indexed="81"/>
            <rFont val="Tahoma"/>
            <family val="2"/>
          </rPr>
          <t>Cristiano:</t>
        </r>
        <r>
          <rPr>
            <sz val="9"/>
            <color indexed="81"/>
            <rFont val="Tahoma"/>
            <family val="2"/>
          </rPr>
          <t xml:space="preserve">
Indicare X</t>
        </r>
      </text>
    </comment>
    <comment ref="L136" authorId="0" shapeId="0" xr:uid="{00000000-0006-0000-0000-000087000000}">
      <text>
        <r>
          <rPr>
            <b/>
            <sz val="9"/>
            <color indexed="81"/>
            <rFont val="Tahoma"/>
            <family val="2"/>
          </rPr>
          <t>Cristiano:</t>
        </r>
        <r>
          <rPr>
            <sz val="9"/>
            <color indexed="81"/>
            <rFont val="Tahoma"/>
            <family val="2"/>
          </rPr>
          <t xml:space="preserve">
Indicare X</t>
        </r>
      </text>
    </comment>
    <comment ref="M136" authorId="0" shapeId="0" xr:uid="{00000000-0006-0000-0000-000088000000}">
      <text>
        <r>
          <rPr>
            <b/>
            <sz val="9"/>
            <color indexed="81"/>
            <rFont val="Tahoma"/>
            <family val="2"/>
          </rPr>
          <t>Cristiano:</t>
        </r>
        <r>
          <rPr>
            <sz val="9"/>
            <color indexed="81"/>
            <rFont val="Tahoma"/>
            <family val="2"/>
          </rPr>
          <t xml:space="preserve">
Indicare X</t>
        </r>
      </text>
    </comment>
    <comment ref="J138" authorId="0" shapeId="0" xr:uid="{00000000-0006-0000-0000-000089000000}">
      <text>
        <r>
          <rPr>
            <b/>
            <sz val="9"/>
            <color indexed="81"/>
            <rFont val="Tahoma"/>
            <family val="2"/>
          </rPr>
          <t>Cristiano:</t>
        </r>
        <r>
          <rPr>
            <sz val="9"/>
            <color indexed="81"/>
            <rFont val="Tahoma"/>
            <family val="2"/>
          </rPr>
          <t xml:space="preserve">
Indicare X</t>
        </r>
      </text>
    </comment>
    <comment ref="L138" authorId="0" shapeId="0" xr:uid="{00000000-0006-0000-0000-00008A000000}">
      <text>
        <r>
          <rPr>
            <b/>
            <sz val="9"/>
            <color indexed="81"/>
            <rFont val="Tahoma"/>
            <family val="2"/>
          </rPr>
          <t>Cristiano:</t>
        </r>
        <r>
          <rPr>
            <sz val="9"/>
            <color indexed="81"/>
            <rFont val="Tahoma"/>
            <family val="2"/>
          </rPr>
          <t xml:space="preserve">
Indicare X</t>
        </r>
      </text>
    </comment>
    <comment ref="E161" authorId="0" shapeId="0" xr:uid="{00000000-0006-0000-0000-00008B000000}">
      <text>
        <r>
          <rPr>
            <b/>
            <sz val="9"/>
            <color indexed="81"/>
            <rFont val="Tahoma"/>
            <family val="2"/>
          </rPr>
          <t>Cristiano:</t>
        </r>
        <r>
          <rPr>
            <sz val="9"/>
            <color indexed="81"/>
            <rFont val="Tahoma"/>
            <family val="2"/>
          </rPr>
          <t xml:space="preserve">
Indicare X</t>
        </r>
      </text>
    </comment>
    <comment ref="G161" authorId="0" shapeId="0" xr:uid="{00000000-0006-0000-0000-00008C000000}">
      <text>
        <r>
          <rPr>
            <b/>
            <sz val="9"/>
            <color indexed="81"/>
            <rFont val="Tahoma"/>
            <family val="2"/>
          </rPr>
          <t>Cristiano:</t>
        </r>
        <r>
          <rPr>
            <sz val="9"/>
            <color indexed="81"/>
            <rFont val="Tahoma"/>
            <family val="2"/>
          </rPr>
          <t xml:space="preserve">
Indicare X</t>
        </r>
      </text>
    </comment>
    <comment ref="K161" authorId="0" shapeId="0" xr:uid="{00000000-0006-0000-0000-00008D000000}">
      <text>
        <r>
          <rPr>
            <b/>
            <sz val="9"/>
            <color indexed="81"/>
            <rFont val="Tahoma"/>
            <family val="2"/>
          </rPr>
          <t>Cristiano:</t>
        </r>
        <r>
          <rPr>
            <sz val="9"/>
            <color indexed="81"/>
            <rFont val="Tahoma"/>
            <family val="2"/>
          </rPr>
          <t xml:space="preserve">
Indicare X</t>
        </r>
      </text>
    </comment>
    <comment ref="M161" authorId="0" shapeId="0" xr:uid="{00000000-0006-0000-0000-00008E000000}">
      <text>
        <r>
          <rPr>
            <b/>
            <sz val="9"/>
            <color indexed="81"/>
            <rFont val="Tahoma"/>
            <family val="2"/>
          </rPr>
          <t>Cristiano:</t>
        </r>
        <r>
          <rPr>
            <sz val="9"/>
            <color indexed="81"/>
            <rFont val="Tahoma"/>
            <family val="2"/>
          </rPr>
          <t xml:space="preserve">
Indicare X</t>
        </r>
      </text>
    </comment>
    <comment ref="L169" authorId="0" shapeId="0" xr:uid="{00000000-0006-0000-0000-00008F000000}">
      <text>
        <r>
          <rPr>
            <b/>
            <sz val="9"/>
            <color indexed="81"/>
            <rFont val="Tahoma"/>
            <family val="2"/>
          </rPr>
          <t>Cristiano:</t>
        </r>
        <r>
          <rPr>
            <sz val="9"/>
            <color indexed="81"/>
            <rFont val="Tahoma"/>
            <family val="2"/>
          </rPr>
          <t xml:space="preserve">
Indicare X</t>
        </r>
      </text>
    </comment>
    <comment ref="M169" authorId="0" shapeId="0" xr:uid="{00000000-0006-0000-0000-000090000000}">
      <text>
        <r>
          <rPr>
            <b/>
            <sz val="9"/>
            <color indexed="81"/>
            <rFont val="Tahoma"/>
            <family val="2"/>
          </rPr>
          <t>Cristiano:</t>
        </r>
        <r>
          <rPr>
            <sz val="9"/>
            <color indexed="81"/>
            <rFont val="Tahoma"/>
            <family val="2"/>
          </rPr>
          <t xml:space="preserve">
Indicare X</t>
        </r>
      </text>
    </comment>
    <comment ref="H171" authorId="0" shapeId="0" xr:uid="{00000000-0006-0000-0000-000091000000}">
      <text>
        <r>
          <rPr>
            <b/>
            <sz val="9"/>
            <color indexed="81"/>
            <rFont val="Tahoma"/>
            <family val="2"/>
          </rPr>
          <t>Cristiano:</t>
        </r>
        <r>
          <rPr>
            <sz val="9"/>
            <color indexed="81"/>
            <rFont val="Tahoma"/>
            <family val="2"/>
          </rPr>
          <t xml:space="preserve">
Indicare X</t>
        </r>
      </text>
    </comment>
    <comment ref="I171" authorId="0" shapeId="0" xr:uid="{00000000-0006-0000-0000-000092000000}">
      <text>
        <r>
          <rPr>
            <b/>
            <sz val="9"/>
            <color indexed="81"/>
            <rFont val="Tahoma"/>
            <family val="2"/>
          </rPr>
          <t>Cristiano:</t>
        </r>
        <r>
          <rPr>
            <sz val="9"/>
            <color indexed="81"/>
            <rFont val="Tahoma"/>
            <family val="2"/>
          </rPr>
          <t xml:space="preserve">
Indicare X</t>
        </r>
      </text>
    </comment>
    <comment ref="L171" authorId="0" shapeId="0" xr:uid="{00000000-0006-0000-0000-000093000000}">
      <text>
        <r>
          <rPr>
            <b/>
            <sz val="9"/>
            <color indexed="81"/>
            <rFont val="Tahoma"/>
            <family val="2"/>
          </rPr>
          <t>Cristiano:</t>
        </r>
        <r>
          <rPr>
            <sz val="9"/>
            <color indexed="81"/>
            <rFont val="Tahoma"/>
            <family val="2"/>
          </rPr>
          <t xml:space="preserve">
Indicare X</t>
        </r>
      </text>
    </comment>
    <comment ref="M171" authorId="0" shapeId="0" xr:uid="{00000000-0006-0000-0000-000094000000}">
      <text>
        <r>
          <rPr>
            <b/>
            <sz val="9"/>
            <color indexed="81"/>
            <rFont val="Tahoma"/>
            <family val="2"/>
          </rPr>
          <t>Cristiano:</t>
        </r>
        <r>
          <rPr>
            <sz val="9"/>
            <color indexed="81"/>
            <rFont val="Tahoma"/>
            <family val="2"/>
          </rPr>
          <t xml:space="preserve">
Indicare X</t>
        </r>
      </text>
    </comment>
    <comment ref="E177" authorId="0" shapeId="0" xr:uid="{00000000-0006-0000-0000-000095000000}">
      <text>
        <r>
          <rPr>
            <b/>
            <sz val="9"/>
            <color indexed="81"/>
            <rFont val="Tahoma"/>
            <family val="2"/>
          </rPr>
          <t>Cristiano:</t>
        </r>
        <r>
          <rPr>
            <sz val="9"/>
            <color indexed="81"/>
            <rFont val="Tahoma"/>
            <family val="2"/>
          </rPr>
          <t xml:space="preserve">
Indicare X</t>
        </r>
      </text>
    </comment>
    <comment ref="G177" authorId="0" shapeId="0" xr:uid="{00000000-0006-0000-0000-000096000000}">
      <text>
        <r>
          <rPr>
            <b/>
            <sz val="9"/>
            <color indexed="81"/>
            <rFont val="Tahoma"/>
            <family val="2"/>
          </rPr>
          <t>Cristiano:</t>
        </r>
        <r>
          <rPr>
            <sz val="9"/>
            <color indexed="81"/>
            <rFont val="Tahoma"/>
            <family val="2"/>
          </rPr>
          <t xml:space="preserve">
Indicare X</t>
        </r>
      </text>
    </comment>
    <comment ref="K177" authorId="0" shapeId="0" xr:uid="{00000000-0006-0000-0000-000097000000}">
      <text>
        <r>
          <rPr>
            <b/>
            <sz val="9"/>
            <color indexed="81"/>
            <rFont val="Tahoma"/>
            <family val="2"/>
          </rPr>
          <t>Cristiano:</t>
        </r>
        <r>
          <rPr>
            <sz val="9"/>
            <color indexed="81"/>
            <rFont val="Tahoma"/>
            <family val="2"/>
          </rPr>
          <t xml:space="preserve">
Indicare X</t>
        </r>
      </text>
    </comment>
    <comment ref="M177" authorId="0" shapeId="0" xr:uid="{00000000-0006-0000-0000-000098000000}">
      <text>
        <r>
          <rPr>
            <b/>
            <sz val="9"/>
            <color indexed="81"/>
            <rFont val="Tahoma"/>
            <family val="2"/>
          </rPr>
          <t>Cristiano:</t>
        </r>
        <r>
          <rPr>
            <sz val="9"/>
            <color indexed="81"/>
            <rFont val="Tahoma"/>
            <family val="2"/>
          </rPr>
          <t xml:space="preserve">
Indicare X</t>
        </r>
      </text>
    </comment>
    <comment ref="K178" authorId="0" shapeId="0" xr:uid="{00000000-0006-0000-0000-000099000000}">
      <text>
        <r>
          <rPr>
            <b/>
            <sz val="9"/>
            <color indexed="81"/>
            <rFont val="Tahoma"/>
            <family val="2"/>
          </rPr>
          <t>Cristiano:</t>
        </r>
        <r>
          <rPr>
            <sz val="9"/>
            <color indexed="81"/>
            <rFont val="Tahoma"/>
            <family val="2"/>
          </rPr>
          <t xml:space="preserve">
Indicare X</t>
        </r>
      </text>
    </comment>
    <comment ref="M178" authorId="0" shapeId="0" xr:uid="{00000000-0006-0000-0000-00009A000000}">
      <text>
        <r>
          <rPr>
            <b/>
            <sz val="9"/>
            <color indexed="81"/>
            <rFont val="Tahoma"/>
            <family val="2"/>
          </rPr>
          <t>Cristiano:</t>
        </r>
        <r>
          <rPr>
            <sz val="9"/>
            <color indexed="81"/>
            <rFont val="Tahoma"/>
            <family val="2"/>
          </rPr>
          <t xml:space="preserve">
Indicare X</t>
        </r>
      </text>
    </comment>
    <comment ref="E206" authorId="0" shapeId="0" xr:uid="{00000000-0006-0000-0000-00009B000000}">
      <text>
        <r>
          <rPr>
            <b/>
            <sz val="9"/>
            <color indexed="81"/>
            <rFont val="Tahoma"/>
            <family val="2"/>
          </rPr>
          <t>Cristiano:</t>
        </r>
        <r>
          <rPr>
            <sz val="9"/>
            <color indexed="81"/>
            <rFont val="Tahoma"/>
            <family val="2"/>
          </rPr>
          <t xml:space="preserve">
Indicare X</t>
        </r>
      </text>
    </comment>
    <comment ref="G206" authorId="0" shapeId="0" xr:uid="{00000000-0006-0000-0000-00009C000000}">
      <text>
        <r>
          <rPr>
            <b/>
            <sz val="9"/>
            <color indexed="81"/>
            <rFont val="Tahoma"/>
            <family val="2"/>
          </rPr>
          <t>Cristiano:</t>
        </r>
        <r>
          <rPr>
            <sz val="9"/>
            <color indexed="81"/>
            <rFont val="Tahoma"/>
            <family val="2"/>
          </rPr>
          <t xml:space="preserve">
Indicare X</t>
        </r>
      </text>
    </comment>
    <comment ref="E210" authorId="0" shapeId="0" xr:uid="{00000000-0006-0000-0000-00009D000000}">
      <text>
        <r>
          <rPr>
            <b/>
            <sz val="9"/>
            <color indexed="81"/>
            <rFont val="Tahoma"/>
            <family val="2"/>
          </rPr>
          <t>Cristiano:</t>
        </r>
        <r>
          <rPr>
            <sz val="9"/>
            <color indexed="81"/>
            <rFont val="Tahoma"/>
            <family val="2"/>
          </rPr>
          <t xml:space="preserve">
Indicare X</t>
        </r>
      </text>
    </comment>
    <comment ref="G210" authorId="0" shapeId="0" xr:uid="{00000000-0006-0000-0000-00009E000000}">
      <text>
        <r>
          <rPr>
            <b/>
            <sz val="9"/>
            <color indexed="81"/>
            <rFont val="Tahoma"/>
            <family val="2"/>
          </rPr>
          <t>Cristiano:</t>
        </r>
        <r>
          <rPr>
            <sz val="9"/>
            <color indexed="81"/>
            <rFont val="Tahoma"/>
            <family val="2"/>
          </rPr>
          <t xml:space="preserve">
Indicare X</t>
        </r>
      </text>
    </comment>
    <comment ref="K210" authorId="0" shapeId="0" xr:uid="{00000000-0006-0000-0000-00009F000000}">
      <text>
        <r>
          <rPr>
            <b/>
            <sz val="9"/>
            <color indexed="81"/>
            <rFont val="Tahoma"/>
            <family val="2"/>
          </rPr>
          <t>Cristiano:</t>
        </r>
        <r>
          <rPr>
            <sz val="9"/>
            <color indexed="81"/>
            <rFont val="Tahoma"/>
            <family val="2"/>
          </rPr>
          <t xml:space="preserve">
Indicare X</t>
        </r>
      </text>
    </comment>
    <comment ref="M210" authorId="0" shapeId="0" xr:uid="{00000000-0006-0000-0000-0000A0000000}">
      <text>
        <r>
          <rPr>
            <b/>
            <sz val="9"/>
            <color indexed="81"/>
            <rFont val="Tahoma"/>
            <family val="2"/>
          </rPr>
          <t>Cristiano:</t>
        </r>
        <r>
          <rPr>
            <sz val="9"/>
            <color indexed="81"/>
            <rFont val="Tahoma"/>
            <family val="2"/>
          </rPr>
          <t xml:space="preserve">
Indicare X</t>
        </r>
      </text>
    </comment>
    <comment ref="K211" authorId="0" shapeId="0" xr:uid="{00000000-0006-0000-0000-0000A1000000}">
      <text>
        <r>
          <rPr>
            <b/>
            <sz val="9"/>
            <color indexed="81"/>
            <rFont val="Tahoma"/>
            <family val="2"/>
          </rPr>
          <t>Cristiano:</t>
        </r>
        <r>
          <rPr>
            <sz val="9"/>
            <color indexed="81"/>
            <rFont val="Tahoma"/>
            <family val="2"/>
          </rPr>
          <t xml:space="preserve">
Indicare X</t>
        </r>
      </text>
    </comment>
    <comment ref="M211" authorId="0" shapeId="0" xr:uid="{00000000-0006-0000-0000-0000A2000000}">
      <text>
        <r>
          <rPr>
            <b/>
            <sz val="9"/>
            <color indexed="81"/>
            <rFont val="Tahoma"/>
            <family val="2"/>
          </rPr>
          <t>Cristiano:</t>
        </r>
        <r>
          <rPr>
            <sz val="9"/>
            <color indexed="81"/>
            <rFont val="Tahoma"/>
            <family val="2"/>
          </rPr>
          <t xml:space="preserve">
Indicare X</t>
        </r>
      </text>
    </comment>
    <comment ref="K212" authorId="0" shapeId="0" xr:uid="{00000000-0006-0000-0000-0000A3000000}">
      <text>
        <r>
          <rPr>
            <b/>
            <sz val="9"/>
            <color indexed="81"/>
            <rFont val="Tahoma"/>
            <family val="2"/>
          </rPr>
          <t>Cristiano:</t>
        </r>
        <r>
          <rPr>
            <sz val="9"/>
            <color indexed="81"/>
            <rFont val="Tahoma"/>
            <family val="2"/>
          </rPr>
          <t xml:space="preserve">
Indicare X</t>
        </r>
      </text>
    </comment>
    <comment ref="M212" authorId="0" shapeId="0" xr:uid="{00000000-0006-0000-0000-0000A4000000}">
      <text>
        <r>
          <rPr>
            <b/>
            <sz val="9"/>
            <color indexed="81"/>
            <rFont val="Tahoma"/>
            <family val="2"/>
          </rPr>
          <t>Cristiano:</t>
        </r>
        <r>
          <rPr>
            <sz val="9"/>
            <color indexed="81"/>
            <rFont val="Tahoma"/>
            <family val="2"/>
          </rPr>
          <t xml:space="preserve">
Indicare X</t>
        </r>
      </text>
    </comment>
    <comment ref="B240" authorId="0" shapeId="0" xr:uid="{00000000-0006-0000-0000-0000A5000000}">
      <text>
        <r>
          <rPr>
            <b/>
            <sz val="9"/>
            <color indexed="81"/>
            <rFont val="Tahoma"/>
            <family val="2"/>
          </rPr>
          <t>Cristiano:</t>
        </r>
        <r>
          <rPr>
            <sz val="9"/>
            <color indexed="81"/>
            <rFont val="Tahoma"/>
            <family val="2"/>
          </rPr>
          <t xml:space="preserve">
Indicare X</t>
        </r>
      </text>
    </comment>
    <comment ref="C240" authorId="0" shapeId="0" xr:uid="{00000000-0006-0000-0000-0000A6000000}">
      <text>
        <r>
          <rPr>
            <b/>
            <sz val="9"/>
            <color indexed="81"/>
            <rFont val="Tahoma"/>
            <family val="2"/>
          </rPr>
          <t>Cristiano:</t>
        </r>
        <r>
          <rPr>
            <sz val="9"/>
            <color indexed="81"/>
            <rFont val="Tahoma"/>
            <family val="2"/>
          </rPr>
          <t xml:space="preserve">
Indicare X</t>
        </r>
      </text>
    </comment>
    <comment ref="D240" authorId="0" shapeId="0" xr:uid="{00000000-0006-0000-0000-0000A7000000}">
      <text>
        <r>
          <rPr>
            <b/>
            <sz val="9"/>
            <color indexed="81"/>
            <rFont val="Tahoma"/>
            <family val="2"/>
          </rPr>
          <t>Cristiano:</t>
        </r>
        <r>
          <rPr>
            <sz val="9"/>
            <color indexed="81"/>
            <rFont val="Tahoma"/>
            <family val="2"/>
          </rPr>
          <t xml:space="preserve">
Indicare X</t>
        </r>
      </text>
    </comment>
    <comment ref="E240" authorId="0" shapeId="0" xr:uid="{00000000-0006-0000-0000-0000A8000000}">
      <text>
        <r>
          <rPr>
            <b/>
            <sz val="9"/>
            <color indexed="81"/>
            <rFont val="Tahoma"/>
            <family val="2"/>
          </rPr>
          <t>Cristiano:</t>
        </r>
        <r>
          <rPr>
            <sz val="9"/>
            <color indexed="81"/>
            <rFont val="Tahoma"/>
            <family val="2"/>
          </rPr>
          <t xml:space="preserve">
Indicare X</t>
        </r>
      </text>
    </comment>
    <comment ref="F246" authorId="0" shapeId="0" xr:uid="{00000000-0006-0000-0000-0000A9000000}">
      <text>
        <r>
          <rPr>
            <b/>
            <sz val="9"/>
            <color indexed="81"/>
            <rFont val="Tahoma"/>
            <family val="2"/>
          </rPr>
          <t>Cristiano:</t>
        </r>
        <r>
          <rPr>
            <sz val="9"/>
            <color indexed="81"/>
            <rFont val="Tahoma"/>
            <family val="2"/>
          </rPr>
          <t xml:space="preserve">
Indicare X</t>
        </r>
      </text>
    </comment>
    <comment ref="G246" authorId="0" shapeId="0" xr:uid="{00000000-0006-0000-0000-0000AA000000}">
      <text>
        <r>
          <rPr>
            <b/>
            <sz val="9"/>
            <color indexed="81"/>
            <rFont val="Tahoma"/>
            <family val="2"/>
          </rPr>
          <t>Cristiano:</t>
        </r>
        <r>
          <rPr>
            <sz val="9"/>
            <color indexed="81"/>
            <rFont val="Tahoma"/>
            <family val="2"/>
          </rPr>
          <t xml:space="preserve">
Indicare X</t>
        </r>
      </text>
    </comment>
    <comment ref="L246" authorId="0" shapeId="0" xr:uid="{00000000-0006-0000-0000-0000AB000000}">
      <text>
        <r>
          <rPr>
            <b/>
            <sz val="9"/>
            <color indexed="81"/>
            <rFont val="Tahoma"/>
            <family val="2"/>
          </rPr>
          <t>Cristiano:</t>
        </r>
        <r>
          <rPr>
            <sz val="9"/>
            <color indexed="81"/>
            <rFont val="Tahoma"/>
            <family val="2"/>
          </rPr>
          <t xml:space="preserve">
Indicare X</t>
        </r>
      </text>
    </comment>
    <comment ref="M246" authorId="0" shapeId="0" xr:uid="{00000000-0006-0000-0000-0000AC000000}">
      <text>
        <r>
          <rPr>
            <b/>
            <sz val="9"/>
            <color indexed="81"/>
            <rFont val="Tahoma"/>
            <family val="2"/>
          </rPr>
          <t>Cristiano:</t>
        </r>
        <r>
          <rPr>
            <sz val="9"/>
            <color indexed="81"/>
            <rFont val="Tahoma"/>
            <family val="2"/>
          </rPr>
          <t xml:space="preserve">
Indicare X</t>
        </r>
      </text>
    </comment>
    <comment ref="F248" authorId="0" shapeId="0" xr:uid="{00000000-0006-0000-0000-0000AD000000}">
      <text>
        <r>
          <rPr>
            <b/>
            <sz val="9"/>
            <color indexed="81"/>
            <rFont val="Tahoma"/>
            <family val="2"/>
          </rPr>
          <t>Cristiano:</t>
        </r>
        <r>
          <rPr>
            <sz val="9"/>
            <color indexed="81"/>
            <rFont val="Tahoma"/>
            <family val="2"/>
          </rPr>
          <t xml:space="preserve">
Indicare X</t>
        </r>
      </text>
    </comment>
    <comment ref="G248" authorId="0" shapeId="0" xr:uid="{00000000-0006-0000-0000-0000AE000000}">
      <text>
        <r>
          <rPr>
            <b/>
            <sz val="9"/>
            <color indexed="81"/>
            <rFont val="Tahoma"/>
            <family val="2"/>
          </rPr>
          <t>Cristiano:</t>
        </r>
        <r>
          <rPr>
            <sz val="9"/>
            <color indexed="81"/>
            <rFont val="Tahoma"/>
            <family val="2"/>
          </rPr>
          <t xml:space="preserve">
Indicare X</t>
        </r>
      </text>
    </comment>
    <comment ref="L248" authorId="0" shapeId="0" xr:uid="{00000000-0006-0000-0000-0000AF000000}">
      <text>
        <r>
          <rPr>
            <b/>
            <sz val="9"/>
            <color indexed="81"/>
            <rFont val="Tahoma"/>
            <family val="2"/>
          </rPr>
          <t>Cristiano:</t>
        </r>
        <r>
          <rPr>
            <sz val="9"/>
            <color indexed="81"/>
            <rFont val="Tahoma"/>
            <family val="2"/>
          </rPr>
          <t xml:space="preserve">
Indicare X</t>
        </r>
      </text>
    </comment>
    <comment ref="M248" authorId="0" shapeId="0" xr:uid="{00000000-0006-0000-0000-0000B0000000}">
      <text>
        <r>
          <rPr>
            <b/>
            <sz val="9"/>
            <color indexed="81"/>
            <rFont val="Tahoma"/>
            <family val="2"/>
          </rPr>
          <t>Cristiano:</t>
        </r>
        <r>
          <rPr>
            <sz val="9"/>
            <color indexed="81"/>
            <rFont val="Tahoma"/>
            <family val="2"/>
          </rPr>
          <t xml:space="preserve">
Indicare X</t>
        </r>
      </text>
    </comment>
    <comment ref="F250" authorId="0" shapeId="0" xr:uid="{00000000-0006-0000-0000-0000B1000000}">
      <text>
        <r>
          <rPr>
            <b/>
            <sz val="9"/>
            <color indexed="81"/>
            <rFont val="Tahoma"/>
            <family val="2"/>
          </rPr>
          <t>Cristiano:</t>
        </r>
        <r>
          <rPr>
            <sz val="9"/>
            <color indexed="81"/>
            <rFont val="Tahoma"/>
            <family val="2"/>
          </rPr>
          <t xml:space="preserve">
Indicare X</t>
        </r>
      </text>
    </comment>
    <comment ref="G250" authorId="0" shapeId="0" xr:uid="{00000000-0006-0000-0000-0000B2000000}">
      <text>
        <r>
          <rPr>
            <b/>
            <sz val="9"/>
            <color indexed="81"/>
            <rFont val="Tahoma"/>
            <family val="2"/>
          </rPr>
          <t>Cristiano:</t>
        </r>
        <r>
          <rPr>
            <sz val="9"/>
            <color indexed="81"/>
            <rFont val="Tahoma"/>
            <family val="2"/>
          </rPr>
          <t xml:space="preserve">
Indicare X</t>
        </r>
      </text>
    </comment>
    <comment ref="L250" authorId="0" shapeId="0" xr:uid="{00000000-0006-0000-0000-0000B3000000}">
      <text>
        <r>
          <rPr>
            <b/>
            <sz val="9"/>
            <color indexed="81"/>
            <rFont val="Tahoma"/>
            <family val="2"/>
          </rPr>
          <t>Cristiano:</t>
        </r>
        <r>
          <rPr>
            <sz val="9"/>
            <color indexed="81"/>
            <rFont val="Tahoma"/>
            <family val="2"/>
          </rPr>
          <t xml:space="preserve">
Indicare X</t>
        </r>
      </text>
    </comment>
    <comment ref="M250" authorId="0" shapeId="0" xr:uid="{00000000-0006-0000-0000-0000B4000000}">
      <text>
        <r>
          <rPr>
            <b/>
            <sz val="9"/>
            <color indexed="81"/>
            <rFont val="Tahoma"/>
            <family val="2"/>
          </rPr>
          <t>Cristiano:</t>
        </r>
        <r>
          <rPr>
            <sz val="9"/>
            <color indexed="81"/>
            <rFont val="Tahoma"/>
            <family val="2"/>
          </rPr>
          <t xml:space="preserve">
Indicare X</t>
        </r>
      </text>
    </comment>
    <comment ref="E255" authorId="0" shapeId="0" xr:uid="{00000000-0006-0000-0000-0000B5000000}">
      <text>
        <r>
          <rPr>
            <b/>
            <sz val="9"/>
            <color indexed="81"/>
            <rFont val="Tahoma"/>
            <family val="2"/>
          </rPr>
          <t>Cristiano:</t>
        </r>
        <r>
          <rPr>
            <sz val="9"/>
            <color indexed="81"/>
            <rFont val="Tahoma"/>
            <family val="2"/>
          </rPr>
          <t xml:space="preserve">
Indicare X</t>
        </r>
      </text>
    </comment>
    <comment ref="F255" authorId="0" shapeId="0" xr:uid="{00000000-0006-0000-0000-0000B6000000}">
      <text>
        <r>
          <rPr>
            <b/>
            <sz val="9"/>
            <color indexed="81"/>
            <rFont val="Tahoma"/>
            <family val="2"/>
          </rPr>
          <t>Cristiano:</t>
        </r>
        <r>
          <rPr>
            <sz val="9"/>
            <color indexed="81"/>
            <rFont val="Tahoma"/>
            <family val="2"/>
          </rPr>
          <t xml:space="preserve">
Indicare X</t>
        </r>
      </text>
    </comment>
    <comment ref="G255" authorId="0" shapeId="0" xr:uid="{00000000-0006-0000-0000-0000B7000000}">
      <text>
        <r>
          <rPr>
            <b/>
            <sz val="9"/>
            <color indexed="81"/>
            <rFont val="Tahoma"/>
            <family val="2"/>
          </rPr>
          <t>Cristiano:</t>
        </r>
        <r>
          <rPr>
            <sz val="9"/>
            <color indexed="81"/>
            <rFont val="Tahoma"/>
            <family val="2"/>
          </rPr>
          <t xml:space="preserve">
Indicare X</t>
        </r>
      </text>
    </comment>
    <comment ref="E256" authorId="0" shapeId="0" xr:uid="{00000000-0006-0000-0000-0000B8000000}">
      <text>
        <r>
          <rPr>
            <b/>
            <sz val="9"/>
            <color indexed="81"/>
            <rFont val="Tahoma"/>
            <family val="2"/>
          </rPr>
          <t>Cristiano:</t>
        </r>
        <r>
          <rPr>
            <sz val="9"/>
            <color indexed="81"/>
            <rFont val="Tahoma"/>
            <family val="2"/>
          </rPr>
          <t xml:space="preserve">
Indicare X</t>
        </r>
      </text>
    </comment>
    <comment ref="F256" authorId="0" shapeId="0" xr:uid="{00000000-0006-0000-0000-0000B9000000}">
      <text>
        <r>
          <rPr>
            <b/>
            <sz val="9"/>
            <color indexed="81"/>
            <rFont val="Tahoma"/>
            <family val="2"/>
          </rPr>
          <t>Cristiano:</t>
        </r>
        <r>
          <rPr>
            <sz val="9"/>
            <color indexed="81"/>
            <rFont val="Tahoma"/>
            <family val="2"/>
          </rPr>
          <t xml:space="preserve">
Indicare X</t>
        </r>
      </text>
    </comment>
    <comment ref="G256" authorId="0" shapeId="0" xr:uid="{00000000-0006-0000-0000-0000BA000000}">
      <text>
        <r>
          <rPr>
            <b/>
            <sz val="9"/>
            <color indexed="81"/>
            <rFont val="Tahoma"/>
            <family val="2"/>
          </rPr>
          <t>Cristiano:</t>
        </r>
        <r>
          <rPr>
            <sz val="9"/>
            <color indexed="81"/>
            <rFont val="Tahoma"/>
            <family val="2"/>
          </rPr>
          <t xml:space="preserve">
Indicare X</t>
        </r>
      </text>
    </comment>
    <comment ref="E257" authorId="0" shapeId="0" xr:uid="{00000000-0006-0000-0000-0000BB000000}">
      <text>
        <r>
          <rPr>
            <b/>
            <sz val="9"/>
            <color indexed="81"/>
            <rFont val="Tahoma"/>
            <family val="2"/>
          </rPr>
          <t>Cristiano:</t>
        </r>
        <r>
          <rPr>
            <sz val="9"/>
            <color indexed="81"/>
            <rFont val="Tahoma"/>
            <family val="2"/>
          </rPr>
          <t xml:space="preserve">
Indicare X</t>
        </r>
      </text>
    </comment>
    <comment ref="F257" authorId="0" shapeId="0" xr:uid="{00000000-0006-0000-0000-0000BC000000}">
      <text>
        <r>
          <rPr>
            <b/>
            <sz val="9"/>
            <color indexed="81"/>
            <rFont val="Tahoma"/>
            <family val="2"/>
          </rPr>
          <t>Cristiano:</t>
        </r>
        <r>
          <rPr>
            <sz val="9"/>
            <color indexed="81"/>
            <rFont val="Tahoma"/>
            <family val="2"/>
          </rPr>
          <t xml:space="preserve">
Indicare X</t>
        </r>
      </text>
    </comment>
    <comment ref="G257" authorId="0" shapeId="0" xr:uid="{00000000-0006-0000-0000-0000BD000000}">
      <text>
        <r>
          <rPr>
            <b/>
            <sz val="9"/>
            <color indexed="81"/>
            <rFont val="Tahoma"/>
            <family val="2"/>
          </rPr>
          <t>Cristiano:</t>
        </r>
        <r>
          <rPr>
            <sz val="9"/>
            <color indexed="81"/>
            <rFont val="Tahoma"/>
            <family val="2"/>
          </rPr>
          <t xml:space="preserve">
Indicare X</t>
        </r>
      </text>
    </comment>
    <comment ref="E258" authorId="0" shapeId="0" xr:uid="{00000000-0006-0000-0000-0000BE000000}">
      <text>
        <r>
          <rPr>
            <b/>
            <sz val="9"/>
            <color indexed="81"/>
            <rFont val="Tahoma"/>
            <family val="2"/>
          </rPr>
          <t>Cristiano:</t>
        </r>
        <r>
          <rPr>
            <sz val="9"/>
            <color indexed="81"/>
            <rFont val="Tahoma"/>
            <family val="2"/>
          </rPr>
          <t xml:space="preserve">
Indicare X</t>
        </r>
      </text>
    </comment>
    <comment ref="F258" authorId="0" shapeId="0" xr:uid="{00000000-0006-0000-0000-0000BF000000}">
      <text>
        <r>
          <rPr>
            <b/>
            <sz val="9"/>
            <color indexed="81"/>
            <rFont val="Tahoma"/>
            <family val="2"/>
          </rPr>
          <t>Cristiano:</t>
        </r>
        <r>
          <rPr>
            <sz val="9"/>
            <color indexed="81"/>
            <rFont val="Tahoma"/>
            <family val="2"/>
          </rPr>
          <t xml:space="preserve">
Indicare X</t>
        </r>
      </text>
    </comment>
    <comment ref="G258" authorId="0" shapeId="0" xr:uid="{00000000-0006-0000-0000-0000C0000000}">
      <text>
        <r>
          <rPr>
            <b/>
            <sz val="9"/>
            <color indexed="81"/>
            <rFont val="Tahoma"/>
            <family val="2"/>
          </rPr>
          <t>Cristiano:</t>
        </r>
        <r>
          <rPr>
            <sz val="9"/>
            <color indexed="81"/>
            <rFont val="Tahoma"/>
            <family val="2"/>
          </rPr>
          <t xml:space="preserve">
Indicare X</t>
        </r>
      </text>
    </comment>
    <comment ref="E259" authorId="0" shapeId="0" xr:uid="{00000000-0006-0000-0000-0000C1000000}">
      <text>
        <r>
          <rPr>
            <b/>
            <sz val="9"/>
            <color indexed="81"/>
            <rFont val="Tahoma"/>
            <family val="2"/>
          </rPr>
          <t>Cristiano:</t>
        </r>
        <r>
          <rPr>
            <sz val="9"/>
            <color indexed="81"/>
            <rFont val="Tahoma"/>
            <family val="2"/>
          </rPr>
          <t xml:space="preserve">
Indicare X</t>
        </r>
      </text>
    </comment>
    <comment ref="F259" authorId="0" shapeId="0" xr:uid="{00000000-0006-0000-0000-0000C2000000}">
      <text>
        <r>
          <rPr>
            <b/>
            <sz val="9"/>
            <color indexed="81"/>
            <rFont val="Tahoma"/>
            <family val="2"/>
          </rPr>
          <t>Cristiano:</t>
        </r>
        <r>
          <rPr>
            <sz val="9"/>
            <color indexed="81"/>
            <rFont val="Tahoma"/>
            <family val="2"/>
          </rPr>
          <t xml:space="preserve">
Indicare X</t>
        </r>
      </text>
    </comment>
    <comment ref="G259" authorId="0" shapeId="0" xr:uid="{00000000-0006-0000-0000-0000C3000000}">
      <text>
        <r>
          <rPr>
            <b/>
            <sz val="9"/>
            <color indexed="81"/>
            <rFont val="Tahoma"/>
            <family val="2"/>
          </rPr>
          <t>Cristiano:</t>
        </r>
        <r>
          <rPr>
            <sz val="9"/>
            <color indexed="81"/>
            <rFont val="Tahoma"/>
            <family val="2"/>
          </rPr>
          <t xml:space="preserve">
Indicare X</t>
        </r>
      </text>
    </comment>
    <comment ref="E260" authorId="0" shapeId="0" xr:uid="{00000000-0006-0000-0000-0000C4000000}">
      <text>
        <r>
          <rPr>
            <b/>
            <sz val="9"/>
            <color indexed="81"/>
            <rFont val="Tahoma"/>
            <family val="2"/>
          </rPr>
          <t>Cristiano:</t>
        </r>
        <r>
          <rPr>
            <sz val="9"/>
            <color indexed="81"/>
            <rFont val="Tahoma"/>
            <family val="2"/>
          </rPr>
          <t xml:space="preserve">
Indicare X</t>
        </r>
      </text>
    </comment>
    <comment ref="F260" authorId="0" shapeId="0" xr:uid="{00000000-0006-0000-0000-0000C5000000}">
      <text>
        <r>
          <rPr>
            <b/>
            <sz val="9"/>
            <color indexed="81"/>
            <rFont val="Tahoma"/>
            <family val="2"/>
          </rPr>
          <t>Cristiano:</t>
        </r>
        <r>
          <rPr>
            <sz val="9"/>
            <color indexed="81"/>
            <rFont val="Tahoma"/>
            <family val="2"/>
          </rPr>
          <t xml:space="preserve">
Indicare X</t>
        </r>
      </text>
    </comment>
    <comment ref="G260" authorId="0" shapeId="0" xr:uid="{00000000-0006-0000-0000-0000C6000000}">
      <text>
        <r>
          <rPr>
            <b/>
            <sz val="9"/>
            <color indexed="81"/>
            <rFont val="Tahoma"/>
            <family val="2"/>
          </rPr>
          <t>Cristiano:</t>
        </r>
        <r>
          <rPr>
            <sz val="9"/>
            <color indexed="81"/>
            <rFont val="Tahoma"/>
            <family val="2"/>
          </rPr>
          <t xml:space="preserve">
Indicare X</t>
        </r>
      </text>
    </comment>
    <comment ref="E261" authorId="0" shapeId="0" xr:uid="{00000000-0006-0000-0000-0000C7000000}">
      <text>
        <r>
          <rPr>
            <b/>
            <sz val="9"/>
            <color indexed="81"/>
            <rFont val="Tahoma"/>
            <family val="2"/>
          </rPr>
          <t>Cristiano:</t>
        </r>
        <r>
          <rPr>
            <sz val="9"/>
            <color indexed="81"/>
            <rFont val="Tahoma"/>
            <family val="2"/>
          </rPr>
          <t xml:space="preserve">
Indicare X</t>
        </r>
      </text>
    </comment>
    <comment ref="F261" authorId="0" shapeId="0" xr:uid="{00000000-0006-0000-0000-0000C8000000}">
      <text>
        <r>
          <rPr>
            <b/>
            <sz val="9"/>
            <color indexed="81"/>
            <rFont val="Tahoma"/>
            <family val="2"/>
          </rPr>
          <t>Cristiano:</t>
        </r>
        <r>
          <rPr>
            <sz val="9"/>
            <color indexed="81"/>
            <rFont val="Tahoma"/>
            <family val="2"/>
          </rPr>
          <t xml:space="preserve">
Indicare X</t>
        </r>
      </text>
    </comment>
    <comment ref="G261" authorId="0" shapeId="0" xr:uid="{00000000-0006-0000-0000-0000C9000000}">
      <text>
        <r>
          <rPr>
            <b/>
            <sz val="9"/>
            <color indexed="81"/>
            <rFont val="Tahoma"/>
            <family val="2"/>
          </rPr>
          <t>Cristiano:</t>
        </r>
        <r>
          <rPr>
            <sz val="9"/>
            <color indexed="81"/>
            <rFont val="Tahoma"/>
            <family val="2"/>
          </rPr>
          <t xml:space="preserve">
Indicare X</t>
        </r>
      </text>
    </comment>
    <comment ref="E262" authorId="0" shapeId="0" xr:uid="{00000000-0006-0000-0000-0000CA000000}">
      <text>
        <r>
          <rPr>
            <b/>
            <sz val="9"/>
            <color indexed="81"/>
            <rFont val="Tahoma"/>
            <family val="2"/>
          </rPr>
          <t>Cristiano:</t>
        </r>
        <r>
          <rPr>
            <sz val="9"/>
            <color indexed="81"/>
            <rFont val="Tahoma"/>
            <family val="2"/>
          </rPr>
          <t xml:space="preserve">
Indicare X</t>
        </r>
      </text>
    </comment>
    <comment ref="F262" authorId="0" shapeId="0" xr:uid="{00000000-0006-0000-0000-0000CB000000}">
      <text>
        <r>
          <rPr>
            <b/>
            <sz val="9"/>
            <color indexed="81"/>
            <rFont val="Tahoma"/>
            <family val="2"/>
          </rPr>
          <t>Cristiano:</t>
        </r>
        <r>
          <rPr>
            <sz val="9"/>
            <color indexed="81"/>
            <rFont val="Tahoma"/>
            <family val="2"/>
          </rPr>
          <t xml:space="preserve">
Indicare X</t>
        </r>
      </text>
    </comment>
    <comment ref="G262" authorId="0" shapeId="0" xr:uid="{00000000-0006-0000-0000-0000CC000000}">
      <text>
        <r>
          <rPr>
            <b/>
            <sz val="9"/>
            <color indexed="81"/>
            <rFont val="Tahoma"/>
            <family val="2"/>
          </rPr>
          <t>Cristiano:</t>
        </r>
        <r>
          <rPr>
            <sz val="9"/>
            <color indexed="81"/>
            <rFont val="Tahoma"/>
            <family val="2"/>
          </rPr>
          <t xml:space="preserve">
Indicare X</t>
        </r>
      </text>
    </comment>
    <comment ref="E263" authorId="0" shapeId="0" xr:uid="{00000000-0006-0000-0000-0000CD000000}">
      <text>
        <r>
          <rPr>
            <b/>
            <sz val="9"/>
            <color indexed="81"/>
            <rFont val="Tahoma"/>
            <family val="2"/>
          </rPr>
          <t>Cristiano:</t>
        </r>
        <r>
          <rPr>
            <sz val="9"/>
            <color indexed="81"/>
            <rFont val="Tahoma"/>
            <family val="2"/>
          </rPr>
          <t xml:space="preserve">
Indicare X</t>
        </r>
      </text>
    </comment>
    <comment ref="F263" authorId="0" shapeId="0" xr:uid="{00000000-0006-0000-0000-0000CE000000}">
      <text>
        <r>
          <rPr>
            <b/>
            <sz val="9"/>
            <color indexed="81"/>
            <rFont val="Tahoma"/>
            <family val="2"/>
          </rPr>
          <t>Cristiano:</t>
        </r>
        <r>
          <rPr>
            <sz val="9"/>
            <color indexed="81"/>
            <rFont val="Tahoma"/>
            <family val="2"/>
          </rPr>
          <t xml:space="preserve">
Indicare X</t>
        </r>
      </text>
    </comment>
    <comment ref="G263" authorId="0" shapeId="0" xr:uid="{00000000-0006-0000-0000-0000CF000000}">
      <text>
        <r>
          <rPr>
            <b/>
            <sz val="9"/>
            <color indexed="81"/>
            <rFont val="Tahoma"/>
            <family val="2"/>
          </rPr>
          <t>Cristiano:</t>
        </r>
        <r>
          <rPr>
            <sz val="9"/>
            <color indexed="81"/>
            <rFont val="Tahoma"/>
            <family val="2"/>
          </rPr>
          <t xml:space="preserve">
Indicare X</t>
        </r>
      </text>
    </comment>
    <comment ref="E264" authorId="0" shapeId="0" xr:uid="{00000000-0006-0000-0000-0000D0000000}">
      <text>
        <r>
          <rPr>
            <b/>
            <sz val="9"/>
            <color indexed="81"/>
            <rFont val="Tahoma"/>
            <family val="2"/>
          </rPr>
          <t>Cristiano:</t>
        </r>
        <r>
          <rPr>
            <sz val="9"/>
            <color indexed="81"/>
            <rFont val="Tahoma"/>
            <family val="2"/>
          </rPr>
          <t xml:space="preserve">
Indicare X</t>
        </r>
      </text>
    </comment>
    <comment ref="F264" authorId="0" shapeId="0" xr:uid="{00000000-0006-0000-0000-0000D1000000}">
      <text>
        <r>
          <rPr>
            <b/>
            <sz val="9"/>
            <color indexed="81"/>
            <rFont val="Tahoma"/>
            <family val="2"/>
          </rPr>
          <t>Cristiano:</t>
        </r>
        <r>
          <rPr>
            <sz val="9"/>
            <color indexed="81"/>
            <rFont val="Tahoma"/>
            <family val="2"/>
          </rPr>
          <t xml:space="preserve">
Indicare X</t>
        </r>
      </text>
    </comment>
    <comment ref="G264" authorId="0" shapeId="0" xr:uid="{00000000-0006-0000-0000-0000D2000000}">
      <text>
        <r>
          <rPr>
            <b/>
            <sz val="9"/>
            <color indexed="81"/>
            <rFont val="Tahoma"/>
            <family val="2"/>
          </rPr>
          <t>Cristiano:</t>
        </r>
        <r>
          <rPr>
            <sz val="9"/>
            <color indexed="81"/>
            <rFont val="Tahoma"/>
            <family val="2"/>
          </rPr>
          <t xml:space="preserve">
Indicare X</t>
        </r>
      </text>
    </comment>
    <comment ref="E265" authorId="0" shapeId="0" xr:uid="{00000000-0006-0000-0000-0000D3000000}">
      <text>
        <r>
          <rPr>
            <b/>
            <sz val="9"/>
            <color indexed="81"/>
            <rFont val="Tahoma"/>
            <family val="2"/>
          </rPr>
          <t>Cristiano:</t>
        </r>
        <r>
          <rPr>
            <sz val="9"/>
            <color indexed="81"/>
            <rFont val="Tahoma"/>
            <family val="2"/>
          </rPr>
          <t xml:space="preserve">
Indicare X</t>
        </r>
      </text>
    </comment>
    <comment ref="F265" authorId="0" shapeId="0" xr:uid="{00000000-0006-0000-0000-0000D4000000}">
      <text>
        <r>
          <rPr>
            <b/>
            <sz val="9"/>
            <color indexed="81"/>
            <rFont val="Tahoma"/>
            <family val="2"/>
          </rPr>
          <t>Cristiano:</t>
        </r>
        <r>
          <rPr>
            <sz val="9"/>
            <color indexed="81"/>
            <rFont val="Tahoma"/>
            <family val="2"/>
          </rPr>
          <t xml:space="preserve">
Indicare X</t>
        </r>
      </text>
    </comment>
    <comment ref="G265" authorId="0" shapeId="0" xr:uid="{00000000-0006-0000-0000-0000D5000000}">
      <text>
        <r>
          <rPr>
            <b/>
            <sz val="9"/>
            <color indexed="81"/>
            <rFont val="Tahoma"/>
            <family val="2"/>
          </rPr>
          <t>Cristiano:</t>
        </r>
        <r>
          <rPr>
            <sz val="9"/>
            <color indexed="81"/>
            <rFont val="Tahoma"/>
            <family val="2"/>
          </rPr>
          <t xml:space="preserve">
Indicare X</t>
        </r>
      </text>
    </comment>
    <comment ref="E266" authorId="0" shapeId="0" xr:uid="{00000000-0006-0000-0000-0000D6000000}">
      <text>
        <r>
          <rPr>
            <b/>
            <sz val="9"/>
            <color indexed="81"/>
            <rFont val="Tahoma"/>
            <family val="2"/>
          </rPr>
          <t>Cristiano:</t>
        </r>
        <r>
          <rPr>
            <sz val="9"/>
            <color indexed="81"/>
            <rFont val="Tahoma"/>
            <family val="2"/>
          </rPr>
          <t xml:space="preserve">
Indicare X</t>
        </r>
      </text>
    </comment>
    <comment ref="F266" authorId="0" shapeId="0" xr:uid="{00000000-0006-0000-0000-0000D7000000}">
      <text>
        <r>
          <rPr>
            <b/>
            <sz val="9"/>
            <color indexed="81"/>
            <rFont val="Tahoma"/>
            <family val="2"/>
          </rPr>
          <t>Cristiano:</t>
        </r>
        <r>
          <rPr>
            <sz val="9"/>
            <color indexed="81"/>
            <rFont val="Tahoma"/>
            <family val="2"/>
          </rPr>
          <t xml:space="preserve">
Indicare X</t>
        </r>
      </text>
    </comment>
    <comment ref="G266" authorId="0" shapeId="0" xr:uid="{00000000-0006-0000-0000-0000D8000000}">
      <text>
        <r>
          <rPr>
            <b/>
            <sz val="9"/>
            <color indexed="81"/>
            <rFont val="Tahoma"/>
            <family val="2"/>
          </rPr>
          <t>Cristiano:</t>
        </r>
        <r>
          <rPr>
            <sz val="9"/>
            <color indexed="81"/>
            <rFont val="Tahoma"/>
            <family val="2"/>
          </rPr>
          <t xml:space="preserve">
Indicare X</t>
        </r>
      </text>
    </comment>
    <comment ref="E267" authorId="0" shapeId="0" xr:uid="{00000000-0006-0000-0000-0000D9000000}">
      <text>
        <r>
          <rPr>
            <b/>
            <sz val="9"/>
            <color indexed="81"/>
            <rFont val="Tahoma"/>
            <family val="2"/>
          </rPr>
          <t>Cristiano:</t>
        </r>
        <r>
          <rPr>
            <sz val="9"/>
            <color indexed="81"/>
            <rFont val="Tahoma"/>
            <family val="2"/>
          </rPr>
          <t xml:space="preserve">
Indicare X</t>
        </r>
      </text>
    </comment>
    <comment ref="F267" authorId="0" shapeId="0" xr:uid="{00000000-0006-0000-0000-0000DA000000}">
      <text>
        <r>
          <rPr>
            <b/>
            <sz val="9"/>
            <color indexed="81"/>
            <rFont val="Tahoma"/>
            <family val="2"/>
          </rPr>
          <t>Cristiano:</t>
        </r>
        <r>
          <rPr>
            <sz val="9"/>
            <color indexed="81"/>
            <rFont val="Tahoma"/>
            <family val="2"/>
          </rPr>
          <t xml:space="preserve">
Indicare X</t>
        </r>
      </text>
    </comment>
    <comment ref="G267" authorId="0" shapeId="0" xr:uid="{00000000-0006-0000-0000-0000DB000000}">
      <text>
        <r>
          <rPr>
            <b/>
            <sz val="9"/>
            <color indexed="81"/>
            <rFont val="Tahoma"/>
            <family val="2"/>
          </rPr>
          <t>Cristiano:</t>
        </r>
        <r>
          <rPr>
            <sz val="9"/>
            <color indexed="81"/>
            <rFont val="Tahoma"/>
            <family val="2"/>
          </rPr>
          <t xml:space="preserve">
Indicare X</t>
        </r>
      </text>
    </comment>
    <comment ref="E268" authorId="0" shapeId="0" xr:uid="{00000000-0006-0000-0000-0000DC000000}">
      <text>
        <r>
          <rPr>
            <b/>
            <sz val="9"/>
            <color indexed="81"/>
            <rFont val="Tahoma"/>
            <family val="2"/>
          </rPr>
          <t>Cristiano:</t>
        </r>
        <r>
          <rPr>
            <sz val="9"/>
            <color indexed="81"/>
            <rFont val="Tahoma"/>
            <family val="2"/>
          </rPr>
          <t xml:space="preserve">
Indicare X</t>
        </r>
      </text>
    </comment>
    <comment ref="F268" authorId="0" shapeId="0" xr:uid="{00000000-0006-0000-0000-0000DD000000}">
      <text>
        <r>
          <rPr>
            <b/>
            <sz val="9"/>
            <color indexed="81"/>
            <rFont val="Tahoma"/>
            <family val="2"/>
          </rPr>
          <t>Cristiano:</t>
        </r>
        <r>
          <rPr>
            <sz val="9"/>
            <color indexed="81"/>
            <rFont val="Tahoma"/>
            <family val="2"/>
          </rPr>
          <t xml:space="preserve">
Indicare X</t>
        </r>
      </text>
    </comment>
    <comment ref="G268" authorId="0" shapeId="0" xr:uid="{00000000-0006-0000-0000-0000DE000000}">
      <text>
        <r>
          <rPr>
            <b/>
            <sz val="9"/>
            <color indexed="81"/>
            <rFont val="Tahoma"/>
            <family val="2"/>
          </rPr>
          <t>Cristiano:</t>
        </r>
        <r>
          <rPr>
            <sz val="9"/>
            <color indexed="81"/>
            <rFont val="Tahoma"/>
            <family val="2"/>
          </rPr>
          <t xml:space="preserve">
Indicare X</t>
        </r>
      </text>
    </comment>
    <comment ref="E269" authorId="0" shapeId="0" xr:uid="{00000000-0006-0000-0000-0000DF000000}">
      <text>
        <r>
          <rPr>
            <b/>
            <sz val="9"/>
            <color indexed="81"/>
            <rFont val="Tahoma"/>
            <family val="2"/>
          </rPr>
          <t>Cristiano:</t>
        </r>
        <r>
          <rPr>
            <sz val="9"/>
            <color indexed="81"/>
            <rFont val="Tahoma"/>
            <family val="2"/>
          </rPr>
          <t xml:space="preserve">
Indicare X</t>
        </r>
      </text>
    </comment>
    <comment ref="F269" authorId="0" shapeId="0" xr:uid="{00000000-0006-0000-0000-0000E0000000}">
      <text>
        <r>
          <rPr>
            <b/>
            <sz val="9"/>
            <color indexed="81"/>
            <rFont val="Tahoma"/>
            <family val="2"/>
          </rPr>
          <t>Cristiano:</t>
        </r>
        <r>
          <rPr>
            <sz val="9"/>
            <color indexed="81"/>
            <rFont val="Tahoma"/>
            <family val="2"/>
          </rPr>
          <t xml:space="preserve">
Indicare X</t>
        </r>
      </text>
    </comment>
    <comment ref="G269" authorId="0" shapeId="0" xr:uid="{00000000-0006-0000-0000-0000E1000000}">
      <text>
        <r>
          <rPr>
            <b/>
            <sz val="9"/>
            <color indexed="81"/>
            <rFont val="Tahoma"/>
            <family val="2"/>
          </rPr>
          <t>Cristiano:</t>
        </r>
        <r>
          <rPr>
            <sz val="9"/>
            <color indexed="81"/>
            <rFont val="Tahoma"/>
            <family val="2"/>
          </rPr>
          <t xml:space="preserve">
Indicare X</t>
        </r>
      </text>
    </comment>
    <comment ref="E270" authorId="0" shapeId="0" xr:uid="{00000000-0006-0000-0000-0000E2000000}">
      <text>
        <r>
          <rPr>
            <b/>
            <sz val="9"/>
            <color indexed="81"/>
            <rFont val="Tahoma"/>
            <family val="2"/>
          </rPr>
          <t>Cristiano:</t>
        </r>
        <r>
          <rPr>
            <sz val="9"/>
            <color indexed="81"/>
            <rFont val="Tahoma"/>
            <family val="2"/>
          </rPr>
          <t xml:space="preserve">
Indicare X</t>
        </r>
      </text>
    </comment>
    <comment ref="F270" authorId="0" shapeId="0" xr:uid="{00000000-0006-0000-0000-0000E3000000}">
      <text>
        <r>
          <rPr>
            <b/>
            <sz val="9"/>
            <color indexed="81"/>
            <rFont val="Tahoma"/>
            <family val="2"/>
          </rPr>
          <t>Cristiano:</t>
        </r>
        <r>
          <rPr>
            <sz val="9"/>
            <color indexed="81"/>
            <rFont val="Tahoma"/>
            <family val="2"/>
          </rPr>
          <t xml:space="preserve">
Indicare X</t>
        </r>
      </text>
    </comment>
    <comment ref="G270" authorId="0" shapeId="0" xr:uid="{00000000-0006-0000-0000-0000E4000000}">
      <text>
        <r>
          <rPr>
            <b/>
            <sz val="9"/>
            <color indexed="81"/>
            <rFont val="Tahoma"/>
            <family val="2"/>
          </rPr>
          <t>Cristiano:</t>
        </r>
        <r>
          <rPr>
            <sz val="9"/>
            <color indexed="81"/>
            <rFont val="Tahoma"/>
            <family val="2"/>
          </rPr>
          <t xml:space="preserve">
Indicare X</t>
        </r>
      </text>
    </comment>
    <comment ref="E271" authorId="0" shapeId="0" xr:uid="{00000000-0006-0000-0000-0000E5000000}">
      <text>
        <r>
          <rPr>
            <b/>
            <sz val="9"/>
            <color indexed="81"/>
            <rFont val="Tahoma"/>
            <family val="2"/>
          </rPr>
          <t>Cristiano:</t>
        </r>
        <r>
          <rPr>
            <sz val="9"/>
            <color indexed="81"/>
            <rFont val="Tahoma"/>
            <family val="2"/>
          </rPr>
          <t xml:space="preserve">
Indicare X</t>
        </r>
      </text>
    </comment>
    <comment ref="F271" authorId="0" shapeId="0" xr:uid="{00000000-0006-0000-0000-0000E6000000}">
      <text>
        <r>
          <rPr>
            <b/>
            <sz val="9"/>
            <color indexed="81"/>
            <rFont val="Tahoma"/>
            <family val="2"/>
          </rPr>
          <t>Cristiano:</t>
        </r>
        <r>
          <rPr>
            <sz val="9"/>
            <color indexed="81"/>
            <rFont val="Tahoma"/>
            <family val="2"/>
          </rPr>
          <t xml:space="preserve">
Indicare X</t>
        </r>
      </text>
    </comment>
    <comment ref="G271" authorId="0" shapeId="0" xr:uid="{00000000-0006-0000-0000-0000E7000000}">
      <text>
        <r>
          <rPr>
            <b/>
            <sz val="9"/>
            <color indexed="81"/>
            <rFont val="Tahoma"/>
            <family val="2"/>
          </rPr>
          <t>Cristiano:</t>
        </r>
        <r>
          <rPr>
            <sz val="9"/>
            <color indexed="81"/>
            <rFont val="Tahoma"/>
            <family val="2"/>
          </rPr>
          <t xml:space="preserve">
Indicare X</t>
        </r>
      </text>
    </comment>
    <comment ref="E272" authorId="0" shapeId="0" xr:uid="{00000000-0006-0000-0000-0000E8000000}">
      <text>
        <r>
          <rPr>
            <b/>
            <sz val="9"/>
            <color indexed="81"/>
            <rFont val="Tahoma"/>
            <family val="2"/>
          </rPr>
          <t>Cristiano:</t>
        </r>
        <r>
          <rPr>
            <sz val="9"/>
            <color indexed="81"/>
            <rFont val="Tahoma"/>
            <family val="2"/>
          </rPr>
          <t xml:space="preserve">
Indicare X</t>
        </r>
      </text>
    </comment>
    <comment ref="F272" authorId="0" shapeId="0" xr:uid="{00000000-0006-0000-0000-0000E9000000}">
      <text>
        <r>
          <rPr>
            <b/>
            <sz val="9"/>
            <color indexed="81"/>
            <rFont val="Tahoma"/>
            <family val="2"/>
          </rPr>
          <t>Cristiano:</t>
        </r>
        <r>
          <rPr>
            <sz val="9"/>
            <color indexed="81"/>
            <rFont val="Tahoma"/>
            <family val="2"/>
          </rPr>
          <t xml:space="preserve">
Indicare X</t>
        </r>
      </text>
    </comment>
    <comment ref="G272" authorId="0" shapeId="0" xr:uid="{00000000-0006-0000-0000-0000EA000000}">
      <text>
        <r>
          <rPr>
            <b/>
            <sz val="9"/>
            <color indexed="81"/>
            <rFont val="Tahoma"/>
            <family val="2"/>
          </rPr>
          <t>Cristiano:</t>
        </r>
        <r>
          <rPr>
            <sz val="9"/>
            <color indexed="81"/>
            <rFont val="Tahoma"/>
            <family val="2"/>
          </rPr>
          <t xml:space="preserve">
Indicare X</t>
        </r>
      </text>
    </comment>
    <comment ref="E273" authorId="0" shapeId="0" xr:uid="{00000000-0006-0000-0000-0000EB000000}">
      <text>
        <r>
          <rPr>
            <b/>
            <sz val="9"/>
            <color indexed="81"/>
            <rFont val="Tahoma"/>
            <family val="2"/>
          </rPr>
          <t>Cristiano:</t>
        </r>
        <r>
          <rPr>
            <sz val="9"/>
            <color indexed="81"/>
            <rFont val="Tahoma"/>
            <family val="2"/>
          </rPr>
          <t xml:space="preserve">
Indicare X</t>
        </r>
      </text>
    </comment>
    <comment ref="F273" authorId="0" shapeId="0" xr:uid="{00000000-0006-0000-0000-0000EC000000}">
      <text>
        <r>
          <rPr>
            <b/>
            <sz val="9"/>
            <color indexed="81"/>
            <rFont val="Tahoma"/>
            <family val="2"/>
          </rPr>
          <t>Cristiano:</t>
        </r>
        <r>
          <rPr>
            <sz val="9"/>
            <color indexed="81"/>
            <rFont val="Tahoma"/>
            <family val="2"/>
          </rPr>
          <t xml:space="preserve">
Indicare X</t>
        </r>
      </text>
    </comment>
    <comment ref="G273" authorId="0" shapeId="0" xr:uid="{00000000-0006-0000-0000-0000ED000000}">
      <text>
        <r>
          <rPr>
            <b/>
            <sz val="9"/>
            <color indexed="81"/>
            <rFont val="Tahoma"/>
            <family val="2"/>
          </rPr>
          <t>Cristiano:</t>
        </r>
        <r>
          <rPr>
            <sz val="9"/>
            <color indexed="81"/>
            <rFont val="Tahoma"/>
            <family val="2"/>
          </rPr>
          <t xml:space="preserve">
Indicare X</t>
        </r>
      </text>
    </comment>
    <comment ref="E274" authorId="0" shapeId="0" xr:uid="{00000000-0006-0000-0000-0000EE000000}">
      <text>
        <r>
          <rPr>
            <b/>
            <sz val="9"/>
            <color indexed="81"/>
            <rFont val="Tahoma"/>
            <family val="2"/>
          </rPr>
          <t>Cristiano:</t>
        </r>
        <r>
          <rPr>
            <sz val="9"/>
            <color indexed="81"/>
            <rFont val="Tahoma"/>
            <family val="2"/>
          </rPr>
          <t xml:space="preserve">
Indicare X</t>
        </r>
      </text>
    </comment>
    <comment ref="F274" authorId="0" shapeId="0" xr:uid="{00000000-0006-0000-0000-0000EF000000}">
      <text>
        <r>
          <rPr>
            <b/>
            <sz val="9"/>
            <color indexed="81"/>
            <rFont val="Tahoma"/>
            <family val="2"/>
          </rPr>
          <t>Cristiano:</t>
        </r>
        <r>
          <rPr>
            <sz val="9"/>
            <color indexed="81"/>
            <rFont val="Tahoma"/>
            <family val="2"/>
          </rPr>
          <t xml:space="preserve">
Indicare X</t>
        </r>
      </text>
    </comment>
    <comment ref="G274" authorId="0" shapeId="0" xr:uid="{00000000-0006-0000-0000-0000F0000000}">
      <text>
        <r>
          <rPr>
            <b/>
            <sz val="9"/>
            <color indexed="81"/>
            <rFont val="Tahoma"/>
            <family val="2"/>
          </rPr>
          <t>Cristiano:</t>
        </r>
        <r>
          <rPr>
            <sz val="9"/>
            <color indexed="81"/>
            <rFont val="Tahoma"/>
            <family val="2"/>
          </rPr>
          <t xml:space="preserve">
Indicare X</t>
        </r>
      </text>
    </comment>
    <comment ref="F277" authorId="0" shapeId="0" xr:uid="{00000000-0006-0000-0000-0000F1000000}">
      <text>
        <r>
          <rPr>
            <b/>
            <sz val="9"/>
            <color indexed="81"/>
            <rFont val="Tahoma"/>
            <family val="2"/>
          </rPr>
          <t>Cristiano:</t>
        </r>
        <r>
          <rPr>
            <sz val="9"/>
            <color indexed="81"/>
            <rFont val="Tahoma"/>
            <family val="2"/>
          </rPr>
          <t xml:space="preserve">
Indicare X</t>
        </r>
      </text>
    </comment>
    <comment ref="G277" authorId="0" shapeId="0" xr:uid="{00000000-0006-0000-0000-0000F2000000}">
      <text>
        <r>
          <rPr>
            <b/>
            <sz val="9"/>
            <color indexed="81"/>
            <rFont val="Tahoma"/>
            <family val="2"/>
          </rPr>
          <t>Cristiano:</t>
        </r>
        <r>
          <rPr>
            <sz val="9"/>
            <color indexed="81"/>
            <rFont val="Tahoma"/>
            <family val="2"/>
          </rPr>
          <t xml:space="preserve">
Indicare X</t>
        </r>
      </text>
    </comment>
    <comment ref="L277" authorId="0" shapeId="0" xr:uid="{00000000-0006-0000-0000-0000F3000000}">
      <text>
        <r>
          <rPr>
            <b/>
            <sz val="9"/>
            <color indexed="81"/>
            <rFont val="Tahoma"/>
            <family val="2"/>
          </rPr>
          <t>Cristiano:</t>
        </r>
        <r>
          <rPr>
            <sz val="9"/>
            <color indexed="81"/>
            <rFont val="Tahoma"/>
            <family val="2"/>
          </rPr>
          <t xml:space="preserve">
Indicare X</t>
        </r>
      </text>
    </comment>
    <comment ref="M277" authorId="0" shapeId="0" xr:uid="{00000000-0006-0000-0000-0000F4000000}">
      <text>
        <r>
          <rPr>
            <b/>
            <sz val="9"/>
            <color indexed="81"/>
            <rFont val="Tahoma"/>
            <family val="2"/>
          </rPr>
          <t>Cristiano:</t>
        </r>
        <r>
          <rPr>
            <sz val="9"/>
            <color indexed="81"/>
            <rFont val="Tahoma"/>
            <family val="2"/>
          </rPr>
          <t xml:space="preserve">
Indicare 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Cristiano</author>
  </authors>
  <commentList>
    <comment ref="D16" authorId="0" shapeId="0" xr:uid="{00000000-0006-0000-0200-000001000000}">
      <text>
        <r>
          <rPr>
            <b/>
            <sz val="9"/>
            <color indexed="81"/>
            <rFont val="Tahoma"/>
            <family val="2"/>
          </rPr>
          <t>Cristiano:</t>
        </r>
        <r>
          <rPr>
            <sz val="9"/>
            <color indexed="81"/>
            <rFont val="Tahoma"/>
            <family val="2"/>
          </rPr>
          <t xml:space="preserve">
Indicare X</t>
        </r>
      </text>
    </comment>
    <comment ref="D19" authorId="0" shapeId="0" xr:uid="{00000000-0006-0000-0200-000002000000}">
      <text>
        <r>
          <rPr>
            <b/>
            <sz val="9"/>
            <color indexed="81"/>
            <rFont val="Tahoma"/>
            <family val="2"/>
          </rPr>
          <t>Cristiano:</t>
        </r>
        <r>
          <rPr>
            <sz val="9"/>
            <color indexed="81"/>
            <rFont val="Tahoma"/>
            <family val="2"/>
          </rPr>
          <t xml:space="preserve">
Indicare X</t>
        </r>
      </text>
    </comment>
    <comment ref="F49" authorId="0" shapeId="0" xr:uid="{00000000-0006-0000-0200-000003000000}">
      <text>
        <r>
          <rPr>
            <b/>
            <sz val="9"/>
            <color indexed="81"/>
            <rFont val="Tahoma"/>
            <family val="2"/>
          </rPr>
          <t>Cristiano:</t>
        </r>
        <r>
          <rPr>
            <sz val="9"/>
            <color indexed="81"/>
            <rFont val="Tahoma"/>
            <family val="2"/>
          </rPr>
          <t xml:space="preserve">
Indicare X</t>
        </r>
      </text>
    </comment>
    <comment ref="I49" authorId="0" shapeId="0" xr:uid="{00000000-0006-0000-0200-000004000000}">
      <text>
        <r>
          <rPr>
            <b/>
            <sz val="9"/>
            <color indexed="81"/>
            <rFont val="Tahoma"/>
            <family val="2"/>
          </rPr>
          <t>Cristiano:</t>
        </r>
        <r>
          <rPr>
            <sz val="9"/>
            <color indexed="81"/>
            <rFont val="Tahoma"/>
            <family val="2"/>
          </rPr>
          <t xml:space="preserve">
Indicare X</t>
        </r>
      </text>
    </comment>
    <comment ref="L49" authorId="0" shapeId="0" xr:uid="{00000000-0006-0000-0200-000005000000}">
      <text>
        <r>
          <rPr>
            <b/>
            <sz val="9"/>
            <color indexed="81"/>
            <rFont val="Tahoma"/>
            <family val="2"/>
          </rPr>
          <t>Cristiano:</t>
        </r>
        <r>
          <rPr>
            <sz val="9"/>
            <color indexed="81"/>
            <rFont val="Tahoma"/>
            <family val="2"/>
          </rPr>
          <t xml:space="preserve">
Indicare X</t>
        </r>
      </text>
    </comment>
    <comment ref="O141" authorId="0" shapeId="0" xr:uid="{00000000-0006-0000-0200-000006000000}">
      <text>
        <r>
          <rPr>
            <b/>
            <sz val="9"/>
            <color indexed="81"/>
            <rFont val="Tahoma"/>
            <family val="2"/>
          </rPr>
          <t>Cristiano:</t>
        </r>
        <r>
          <rPr>
            <sz val="9"/>
            <color indexed="81"/>
            <rFont val="Tahoma"/>
            <family val="2"/>
          </rPr>
          <t xml:space="preserve">
Indicare X</t>
        </r>
      </text>
    </comment>
    <comment ref="H142" authorId="0" shapeId="0" xr:uid="{00000000-0006-0000-0200-000007000000}">
      <text>
        <r>
          <rPr>
            <b/>
            <sz val="9"/>
            <color indexed="81"/>
            <rFont val="Tahoma"/>
            <family val="2"/>
          </rPr>
          <t>Cristiano:</t>
        </r>
        <r>
          <rPr>
            <sz val="9"/>
            <color indexed="81"/>
            <rFont val="Tahoma"/>
            <family val="2"/>
          </rPr>
          <t xml:space="preserve">
Indicare X</t>
        </r>
      </text>
    </comment>
    <comment ref="O142" authorId="0" shapeId="0" xr:uid="{00000000-0006-0000-0200-000008000000}">
      <text>
        <r>
          <rPr>
            <b/>
            <sz val="9"/>
            <color indexed="81"/>
            <rFont val="Tahoma"/>
            <family val="2"/>
          </rPr>
          <t>Cristiano:</t>
        </r>
        <r>
          <rPr>
            <sz val="9"/>
            <color indexed="81"/>
            <rFont val="Tahoma"/>
            <family val="2"/>
          </rPr>
          <t xml:space="preserve">
Indicare X</t>
        </r>
      </text>
    </comment>
    <comment ref="O143" authorId="0" shapeId="0" xr:uid="{00000000-0006-0000-0200-000009000000}">
      <text>
        <r>
          <rPr>
            <b/>
            <sz val="9"/>
            <color indexed="81"/>
            <rFont val="Tahoma"/>
            <family val="2"/>
          </rPr>
          <t>Cristiano:</t>
        </r>
        <r>
          <rPr>
            <sz val="9"/>
            <color indexed="81"/>
            <rFont val="Tahoma"/>
            <family val="2"/>
          </rPr>
          <t xml:space="preserve">
Indicare X</t>
        </r>
      </text>
    </comment>
    <comment ref="O144" authorId="0" shapeId="0" xr:uid="{00000000-0006-0000-0200-00000A000000}">
      <text>
        <r>
          <rPr>
            <b/>
            <sz val="9"/>
            <color indexed="81"/>
            <rFont val="Tahoma"/>
            <family val="2"/>
          </rPr>
          <t>Cristiano:</t>
        </r>
        <r>
          <rPr>
            <sz val="9"/>
            <color indexed="81"/>
            <rFont val="Tahoma"/>
            <family val="2"/>
          </rPr>
          <t xml:space="preserve">
Indicare X</t>
        </r>
      </text>
    </comment>
    <comment ref="H145" authorId="0" shapeId="0" xr:uid="{00000000-0006-0000-0200-00000B000000}">
      <text>
        <r>
          <rPr>
            <b/>
            <sz val="9"/>
            <color indexed="81"/>
            <rFont val="Tahoma"/>
            <family val="2"/>
          </rPr>
          <t>Cristiano:</t>
        </r>
        <r>
          <rPr>
            <sz val="9"/>
            <color indexed="81"/>
            <rFont val="Tahoma"/>
            <family val="2"/>
          </rPr>
          <t xml:space="preserve">
Indicare X</t>
        </r>
      </text>
    </comment>
    <comment ref="O146" authorId="0" shapeId="0" xr:uid="{00000000-0006-0000-0200-00000C000000}">
      <text>
        <r>
          <rPr>
            <b/>
            <sz val="9"/>
            <color indexed="81"/>
            <rFont val="Tahoma"/>
            <family val="2"/>
          </rPr>
          <t>Cristiano:</t>
        </r>
        <r>
          <rPr>
            <sz val="9"/>
            <color indexed="81"/>
            <rFont val="Tahoma"/>
            <family val="2"/>
          </rPr>
          <t xml:space="preserve">
Digitare 1 o 0,5 o 0,5S o 0,2 o 0,1</t>
        </r>
      </text>
    </comment>
    <comment ref="H148" authorId="0" shapeId="0" xr:uid="{00000000-0006-0000-0200-00000D000000}">
      <text>
        <r>
          <rPr>
            <b/>
            <sz val="9"/>
            <color indexed="81"/>
            <rFont val="Tahoma"/>
            <family val="2"/>
          </rPr>
          <t>Cristiano:</t>
        </r>
        <r>
          <rPr>
            <sz val="9"/>
            <color indexed="81"/>
            <rFont val="Tahoma"/>
            <family val="2"/>
          </rPr>
          <t xml:space="preserve">
Indicare X</t>
        </r>
      </text>
    </comment>
    <comment ref="H151" authorId="0" shapeId="0" xr:uid="{00000000-0006-0000-0200-00000E000000}">
      <text>
        <r>
          <rPr>
            <b/>
            <sz val="9"/>
            <color indexed="81"/>
            <rFont val="Tahoma"/>
            <family val="2"/>
          </rPr>
          <t>Cristiano:</t>
        </r>
        <r>
          <rPr>
            <sz val="9"/>
            <color indexed="81"/>
            <rFont val="Tahoma"/>
            <family val="2"/>
          </rPr>
          <t xml:space="preserve">
Indicare X</t>
        </r>
      </text>
    </comment>
    <comment ref="H154" authorId="0" shapeId="0" xr:uid="{00000000-0006-0000-0200-00000F000000}">
      <text>
        <r>
          <rPr>
            <b/>
            <sz val="9"/>
            <color indexed="81"/>
            <rFont val="Tahoma"/>
            <family val="2"/>
          </rPr>
          <t>Cristiano:</t>
        </r>
        <r>
          <rPr>
            <sz val="9"/>
            <color indexed="81"/>
            <rFont val="Tahoma"/>
            <family val="2"/>
          </rPr>
          <t xml:space="preserve">
Indicare X</t>
        </r>
      </text>
    </comment>
    <comment ref="H157" authorId="0" shapeId="0" xr:uid="{00000000-0006-0000-0200-000010000000}">
      <text>
        <r>
          <rPr>
            <b/>
            <sz val="9"/>
            <color indexed="81"/>
            <rFont val="Tahoma"/>
            <family val="2"/>
          </rPr>
          <t>Cristiano:</t>
        </r>
        <r>
          <rPr>
            <sz val="9"/>
            <color indexed="81"/>
            <rFont val="Tahoma"/>
            <family val="2"/>
          </rPr>
          <t xml:space="preserve">
Indicare X</t>
        </r>
      </text>
    </comment>
    <comment ref="O159" authorId="0" shapeId="0" xr:uid="{00000000-0006-0000-0200-000011000000}">
      <text>
        <r>
          <rPr>
            <b/>
            <sz val="9"/>
            <color indexed="81"/>
            <rFont val="Tahoma"/>
            <family val="2"/>
          </rPr>
          <t>Cristiano:</t>
        </r>
        <r>
          <rPr>
            <sz val="9"/>
            <color indexed="81"/>
            <rFont val="Tahoma"/>
            <family val="2"/>
          </rPr>
          <t xml:space="preserve">
Indicare X</t>
        </r>
      </text>
    </comment>
    <comment ref="H160" authorId="0" shapeId="0" xr:uid="{00000000-0006-0000-0200-000012000000}">
      <text>
        <r>
          <rPr>
            <b/>
            <sz val="9"/>
            <color indexed="81"/>
            <rFont val="Tahoma"/>
            <family val="2"/>
          </rPr>
          <t>Cristiano:</t>
        </r>
        <r>
          <rPr>
            <sz val="9"/>
            <color indexed="81"/>
            <rFont val="Tahoma"/>
            <family val="2"/>
          </rPr>
          <t xml:space="preserve">
Indicare X</t>
        </r>
      </text>
    </comment>
    <comment ref="O160" authorId="0" shapeId="0" xr:uid="{00000000-0006-0000-0200-000013000000}">
      <text>
        <r>
          <rPr>
            <b/>
            <sz val="9"/>
            <color indexed="81"/>
            <rFont val="Tahoma"/>
            <family val="2"/>
          </rPr>
          <t>Cristiano:</t>
        </r>
        <r>
          <rPr>
            <sz val="9"/>
            <color indexed="81"/>
            <rFont val="Tahoma"/>
            <family val="2"/>
          </rPr>
          <t xml:space="preserve">
Indicare X</t>
        </r>
      </text>
    </comment>
    <comment ref="O161" authorId="0" shapeId="0" xr:uid="{00000000-0006-0000-0200-000014000000}">
      <text>
        <r>
          <rPr>
            <b/>
            <sz val="9"/>
            <color indexed="81"/>
            <rFont val="Tahoma"/>
            <family val="2"/>
          </rPr>
          <t>Cristiano:</t>
        </r>
        <r>
          <rPr>
            <sz val="9"/>
            <color indexed="81"/>
            <rFont val="Tahoma"/>
            <family val="2"/>
          </rPr>
          <t xml:space="preserve">
Indicare X</t>
        </r>
      </text>
    </comment>
    <comment ref="O162" authorId="0" shapeId="0" xr:uid="{00000000-0006-0000-0200-000015000000}">
      <text>
        <r>
          <rPr>
            <b/>
            <sz val="9"/>
            <color indexed="81"/>
            <rFont val="Tahoma"/>
            <family val="2"/>
          </rPr>
          <t>Cristiano:</t>
        </r>
        <r>
          <rPr>
            <sz val="9"/>
            <color indexed="81"/>
            <rFont val="Tahoma"/>
            <family val="2"/>
          </rPr>
          <t xml:space="preserve">
Indicare X</t>
        </r>
      </text>
    </comment>
    <comment ref="O164" authorId="0" shapeId="0" xr:uid="{00000000-0006-0000-0200-000016000000}">
      <text>
        <r>
          <rPr>
            <b/>
            <sz val="9"/>
            <color indexed="81"/>
            <rFont val="Tahoma"/>
            <family val="2"/>
          </rPr>
          <t>Cristiano:</t>
        </r>
        <r>
          <rPr>
            <sz val="9"/>
            <color indexed="81"/>
            <rFont val="Tahoma"/>
            <family val="2"/>
          </rPr>
          <t xml:space="preserve">
Digitare 1 o 0,5 o 0,2 o 0,1</t>
        </r>
      </text>
    </comment>
    <comment ref="H173" authorId="0" shapeId="0" xr:uid="{00000000-0006-0000-0200-000017000000}">
      <text>
        <r>
          <rPr>
            <b/>
            <sz val="9"/>
            <color indexed="81"/>
            <rFont val="Tahoma"/>
            <family val="2"/>
          </rPr>
          <t>Cristiano:</t>
        </r>
        <r>
          <rPr>
            <sz val="9"/>
            <color indexed="81"/>
            <rFont val="Tahoma"/>
            <family val="2"/>
          </rPr>
          <t xml:space="preserve">
Indicare X</t>
        </r>
      </text>
    </comment>
    <comment ref="H176" authorId="0" shapeId="0" xr:uid="{00000000-0006-0000-0200-000018000000}">
      <text>
        <r>
          <rPr>
            <b/>
            <sz val="9"/>
            <color indexed="81"/>
            <rFont val="Tahoma"/>
            <family val="2"/>
          </rPr>
          <t>Cristiano:</t>
        </r>
        <r>
          <rPr>
            <sz val="9"/>
            <color indexed="81"/>
            <rFont val="Tahoma"/>
            <family val="2"/>
          </rPr>
          <t xml:space="preserve">
Indicare X</t>
        </r>
      </text>
    </comment>
    <comment ref="H179" authorId="0" shapeId="0" xr:uid="{00000000-0006-0000-0200-000019000000}">
      <text>
        <r>
          <rPr>
            <b/>
            <sz val="9"/>
            <color indexed="81"/>
            <rFont val="Tahoma"/>
            <family val="2"/>
          </rPr>
          <t>Cristiano:</t>
        </r>
        <r>
          <rPr>
            <sz val="9"/>
            <color indexed="81"/>
            <rFont val="Tahoma"/>
            <family val="2"/>
          </rPr>
          <t xml:space="preserve">
Indicare X</t>
        </r>
      </text>
    </comment>
    <comment ref="O179" authorId="0" shapeId="0" xr:uid="{00000000-0006-0000-0200-00001A000000}">
      <text>
        <r>
          <rPr>
            <b/>
            <sz val="9"/>
            <color indexed="81"/>
            <rFont val="Tahoma"/>
            <family val="2"/>
          </rPr>
          <t>Cristiano:</t>
        </r>
        <r>
          <rPr>
            <sz val="9"/>
            <color indexed="81"/>
            <rFont val="Tahoma"/>
            <family val="2"/>
          </rPr>
          <t xml:space="preserve">
Indicare X</t>
        </r>
      </text>
    </comment>
    <comment ref="H182" authorId="0" shapeId="0" xr:uid="{00000000-0006-0000-0200-00001B000000}">
      <text>
        <r>
          <rPr>
            <b/>
            <sz val="9"/>
            <color indexed="81"/>
            <rFont val="Tahoma"/>
            <family val="2"/>
          </rPr>
          <t>Cristiano:</t>
        </r>
        <r>
          <rPr>
            <sz val="9"/>
            <color indexed="81"/>
            <rFont val="Tahoma"/>
            <family val="2"/>
          </rPr>
          <t xml:space="preserve">
Indicare X</t>
        </r>
      </text>
    </comment>
    <comment ref="H185" authorId="0" shapeId="0" xr:uid="{00000000-0006-0000-0200-00001C000000}">
      <text>
        <r>
          <rPr>
            <b/>
            <sz val="9"/>
            <color indexed="81"/>
            <rFont val="Tahoma"/>
            <family val="2"/>
          </rPr>
          <t>Cristiano:</t>
        </r>
        <r>
          <rPr>
            <sz val="9"/>
            <color indexed="81"/>
            <rFont val="Tahoma"/>
            <family val="2"/>
          </rPr>
          <t xml:space="preserve">
Indicare X</t>
        </r>
      </text>
    </comment>
    <comment ref="H188" authorId="0" shapeId="0" xr:uid="{00000000-0006-0000-0200-00001D000000}">
      <text>
        <r>
          <rPr>
            <b/>
            <sz val="9"/>
            <color indexed="81"/>
            <rFont val="Tahoma"/>
            <family val="2"/>
          </rPr>
          <t>Cristiano:</t>
        </r>
        <r>
          <rPr>
            <sz val="9"/>
            <color indexed="81"/>
            <rFont val="Tahoma"/>
            <family val="2"/>
          </rPr>
          <t xml:space="preserve">
Indicare A, B, C, 0,2S, 2, 1, 0,5S, 0,5</t>
        </r>
      </text>
    </comment>
    <comment ref="B278" authorId="0" shapeId="0" xr:uid="{00000000-0006-0000-0200-00001E000000}">
      <text>
        <r>
          <rPr>
            <b/>
            <sz val="9"/>
            <color indexed="81"/>
            <rFont val="Tahoma"/>
            <family val="2"/>
          </rPr>
          <t>Cristiano:</t>
        </r>
        <r>
          <rPr>
            <sz val="9"/>
            <color indexed="81"/>
            <rFont val="Tahoma"/>
            <family val="2"/>
          </rPr>
          <t xml:space="preserve">
Indicare X</t>
        </r>
      </text>
    </comment>
    <comment ref="C290" authorId="0" shapeId="0" xr:uid="{00000000-0006-0000-0200-00001F000000}">
      <text>
        <r>
          <rPr>
            <b/>
            <sz val="9"/>
            <color indexed="81"/>
            <rFont val="Tahoma"/>
            <family val="2"/>
          </rPr>
          <t>Cristiano:</t>
        </r>
        <r>
          <rPr>
            <sz val="9"/>
            <color indexed="81"/>
            <rFont val="Tahoma"/>
            <family val="2"/>
          </rPr>
          <t xml:space="preserve">
Indicare X</t>
        </r>
      </text>
    </comment>
    <comment ref="E290" authorId="0" shapeId="0" xr:uid="{00000000-0006-0000-0200-000020000000}">
      <text>
        <r>
          <rPr>
            <b/>
            <sz val="9"/>
            <color indexed="81"/>
            <rFont val="Tahoma"/>
            <family val="2"/>
          </rPr>
          <t>Cristiano:</t>
        </r>
        <r>
          <rPr>
            <sz val="9"/>
            <color indexed="81"/>
            <rFont val="Tahoma"/>
            <family val="2"/>
          </rPr>
          <t xml:space="preserve">
Indicare X</t>
        </r>
      </text>
    </comment>
    <comment ref="G290" authorId="0" shapeId="0" xr:uid="{00000000-0006-0000-0200-000021000000}">
      <text>
        <r>
          <rPr>
            <b/>
            <sz val="9"/>
            <color indexed="81"/>
            <rFont val="Tahoma"/>
            <family val="2"/>
          </rPr>
          <t>Cristiano:</t>
        </r>
        <r>
          <rPr>
            <sz val="9"/>
            <color indexed="81"/>
            <rFont val="Tahoma"/>
            <family val="2"/>
          </rPr>
          <t xml:space="preserve">
Indicare X</t>
        </r>
      </text>
    </comment>
    <comment ref="I290" authorId="0" shapeId="0" xr:uid="{00000000-0006-0000-0200-000022000000}">
      <text>
        <r>
          <rPr>
            <b/>
            <sz val="9"/>
            <color indexed="81"/>
            <rFont val="Tahoma"/>
            <family val="2"/>
          </rPr>
          <t>Cristiano:</t>
        </r>
        <r>
          <rPr>
            <sz val="9"/>
            <color indexed="81"/>
            <rFont val="Tahoma"/>
            <family val="2"/>
          </rPr>
          <t xml:space="preserve">
Indicare X</t>
        </r>
      </text>
    </comment>
    <comment ref="B293" authorId="0" shapeId="0" xr:uid="{00000000-0006-0000-0200-000023000000}">
      <text>
        <r>
          <rPr>
            <b/>
            <sz val="9"/>
            <color indexed="81"/>
            <rFont val="Tahoma"/>
            <family val="2"/>
          </rPr>
          <t>Cristiano:</t>
        </r>
        <r>
          <rPr>
            <sz val="9"/>
            <color indexed="81"/>
            <rFont val="Tahoma"/>
            <family val="2"/>
          </rPr>
          <t xml:space="preserve">
Indicare X</t>
        </r>
      </text>
    </comment>
    <comment ref="C305" authorId="0" shapeId="0" xr:uid="{00000000-0006-0000-0200-000024000000}">
      <text>
        <r>
          <rPr>
            <b/>
            <sz val="9"/>
            <color indexed="81"/>
            <rFont val="Tahoma"/>
            <family val="2"/>
          </rPr>
          <t>Cristiano:</t>
        </r>
        <r>
          <rPr>
            <sz val="9"/>
            <color indexed="81"/>
            <rFont val="Tahoma"/>
            <family val="2"/>
          </rPr>
          <t xml:space="preserve">
Indicare X</t>
        </r>
      </text>
    </comment>
    <comment ref="E305" authorId="0" shapeId="0" xr:uid="{00000000-0006-0000-0200-000025000000}">
      <text>
        <r>
          <rPr>
            <b/>
            <sz val="9"/>
            <color indexed="81"/>
            <rFont val="Tahoma"/>
            <family val="2"/>
          </rPr>
          <t>Cristiano:</t>
        </r>
        <r>
          <rPr>
            <sz val="9"/>
            <color indexed="81"/>
            <rFont val="Tahoma"/>
            <family val="2"/>
          </rPr>
          <t xml:space="preserve">
Indicare X</t>
        </r>
      </text>
    </comment>
    <comment ref="G305" authorId="0" shapeId="0" xr:uid="{00000000-0006-0000-0200-000026000000}">
      <text>
        <r>
          <rPr>
            <b/>
            <sz val="9"/>
            <color indexed="81"/>
            <rFont val="Tahoma"/>
            <family val="2"/>
          </rPr>
          <t>Cristiano:</t>
        </r>
        <r>
          <rPr>
            <sz val="9"/>
            <color indexed="81"/>
            <rFont val="Tahoma"/>
            <family val="2"/>
          </rPr>
          <t xml:space="preserve">
Indicare X</t>
        </r>
      </text>
    </comment>
    <comment ref="I305" authorId="0" shapeId="0" xr:uid="{00000000-0006-0000-0200-000027000000}">
      <text>
        <r>
          <rPr>
            <b/>
            <sz val="9"/>
            <color indexed="81"/>
            <rFont val="Tahoma"/>
            <family val="2"/>
          </rPr>
          <t>Cristiano:</t>
        </r>
        <r>
          <rPr>
            <sz val="9"/>
            <color indexed="81"/>
            <rFont val="Tahoma"/>
            <family val="2"/>
          </rPr>
          <t xml:space="preserve">
Indicare X</t>
        </r>
      </text>
    </comment>
    <comment ref="B308" authorId="0" shapeId="0" xr:uid="{00000000-0006-0000-0200-000028000000}">
      <text>
        <r>
          <rPr>
            <b/>
            <sz val="9"/>
            <color indexed="81"/>
            <rFont val="Tahoma"/>
            <family val="2"/>
          </rPr>
          <t>Cristiano:</t>
        </r>
        <r>
          <rPr>
            <sz val="9"/>
            <color indexed="81"/>
            <rFont val="Tahoma"/>
            <family val="2"/>
          </rPr>
          <t xml:space="preserve">
Indicare X</t>
        </r>
      </text>
    </comment>
    <comment ref="C320" authorId="0" shapeId="0" xr:uid="{00000000-0006-0000-0200-000029000000}">
      <text>
        <r>
          <rPr>
            <b/>
            <sz val="9"/>
            <color indexed="81"/>
            <rFont val="Tahoma"/>
            <family val="2"/>
          </rPr>
          <t>Cristiano:</t>
        </r>
        <r>
          <rPr>
            <sz val="9"/>
            <color indexed="81"/>
            <rFont val="Tahoma"/>
            <family val="2"/>
          </rPr>
          <t xml:space="preserve">
Indicare X</t>
        </r>
      </text>
    </comment>
    <comment ref="E320" authorId="0" shapeId="0" xr:uid="{00000000-0006-0000-0200-00002A000000}">
      <text>
        <r>
          <rPr>
            <b/>
            <sz val="9"/>
            <color indexed="81"/>
            <rFont val="Tahoma"/>
            <family val="2"/>
          </rPr>
          <t>Cristiano:</t>
        </r>
        <r>
          <rPr>
            <sz val="9"/>
            <color indexed="81"/>
            <rFont val="Tahoma"/>
            <family val="2"/>
          </rPr>
          <t xml:space="preserve">
Indicare X</t>
        </r>
      </text>
    </comment>
    <comment ref="G320" authorId="0" shapeId="0" xr:uid="{00000000-0006-0000-0200-00002B000000}">
      <text>
        <r>
          <rPr>
            <b/>
            <sz val="9"/>
            <color indexed="81"/>
            <rFont val="Tahoma"/>
            <family val="2"/>
          </rPr>
          <t>Cristiano:</t>
        </r>
        <r>
          <rPr>
            <sz val="9"/>
            <color indexed="81"/>
            <rFont val="Tahoma"/>
            <family val="2"/>
          </rPr>
          <t xml:space="preserve">
Indicare X</t>
        </r>
      </text>
    </comment>
    <comment ref="I320" authorId="0" shapeId="0" xr:uid="{00000000-0006-0000-0200-00002C000000}">
      <text>
        <r>
          <rPr>
            <b/>
            <sz val="9"/>
            <color indexed="81"/>
            <rFont val="Tahoma"/>
            <family val="2"/>
          </rPr>
          <t>Cristiano:</t>
        </r>
        <r>
          <rPr>
            <sz val="9"/>
            <color indexed="81"/>
            <rFont val="Tahoma"/>
            <family val="2"/>
          </rPr>
          <t xml:space="preserve">
Indicare X</t>
        </r>
      </text>
    </comment>
    <comment ref="B323" authorId="0" shapeId="0" xr:uid="{00000000-0006-0000-0200-00002D000000}">
      <text>
        <r>
          <rPr>
            <b/>
            <sz val="9"/>
            <color indexed="81"/>
            <rFont val="Tahoma"/>
            <family val="2"/>
          </rPr>
          <t>Cristiano:</t>
        </r>
        <r>
          <rPr>
            <sz val="9"/>
            <color indexed="81"/>
            <rFont val="Tahoma"/>
            <family val="2"/>
          </rPr>
          <t xml:space="preserve">
Indicare X</t>
        </r>
      </text>
    </comment>
    <comment ref="C335" authorId="0" shapeId="0" xr:uid="{00000000-0006-0000-0200-00002E000000}">
      <text>
        <r>
          <rPr>
            <b/>
            <sz val="9"/>
            <color indexed="81"/>
            <rFont val="Tahoma"/>
            <family val="2"/>
          </rPr>
          <t>Cristiano:</t>
        </r>
        <r>
          <rPr>
            <sz val="9"/>
            <color indexed="81"/>
            <rFont val="Tahoma"/>
            <family val="2"/>
          </rPr>
          <t xml:space="preserve">
Indicare X</t>
        </r>
      </text>
    </comment>
    <comment ref="E335" authorId="0" shapeId="0" xr:uid="{00000000-0006-0000-0200-00002F000000}">
      <text>
        <r>
          <rPr>
            <b/>
            <sz val="9"/>
            <color indexed="81"/>
            <rFont val="Tahoma"/>
            <family val="2"/>
          </rPr>
          <t>Cristiano:</t>
        </r>
        <r>
          <rPr>
            <sz val="9"/>
            <color indexed="81"/>
            <rFont val="Tahoma"/>
            <family val="2"/>
          </rPr>
          <t xml:space="preserve">
Indicare X</t>
        </r>
      </text>
    </comment>
    <comment ref="G335" authorId="0" shapeId="0" xr:uid="{00000000-0006-0000-0200-000030000000}">
      <text>
        <r>
          <rPr>
            <b/>
            <sz val="9"/>
            <color indexed="81"/>
            <rFont val="Tahoma"/>
            <family val="2"/>
          </rPr>
          <t>Cristiano:</t>
        </r>
        <r>
          <rPr>
            <sz val="9"/>
            <color indexed="81"/>
            <rFont val="Tahoma"/>
            <family val="2"/>
          </rPr>
          <t xml:space="preserve">
Indicare X</t>
        </r>
      </text>
    </comment>
    <comment ref="I335" authorId="0" shapeId="0" xr:uid="{00000000-0006-0000-0200-000031000000}">
      <text>
        <r>
          <rPr>
            <b/>
            <sz val="9"/>
            <color indexed="81"/>
            <rFont val="Tahoma"/>
            <family val="2"/>
          </rPr>
          <t>Cristiano:</t>
        </r>
        <r>
          <rPr>
            <sz val="9"/>
            <color indexed="81"/>
            <rFont val="Tahoma"/>
            <family val="2"/>
          </rPr>
          <t xml:space="preserve">
Indicare X</t>
        </r>
      </text>
    </comment>
    <comment ref="B338" authorId="0" shapeId="0" xr:uid="{00000000-0006-0000-0200-000032000000}">
      <text>
        <r>
          <rPr>
            <b/>
            <sz val="9"/>
            <color indexed="81"/>
            <rFont val="Tahoma"/>
            <family val="2"/>
          </rPr>
          <t>Cristiano:</t>
        </r>
        <r>
          <rPr>
            <sz val="9"/>
            <color indexed="81"/>
            <rFont val="Tahoma"/>
            <family val="2"/>
          </rPr>
          <t xml:space="preserve">
Indicare X</t>
        </r>
      </text>
    </comment>
    <comment ref="C350" authorId="0" shapeId="0" xr:uid="{00000000-0006-0000-0200-000033000000}">
      <text>
        <r>
          <rPr>
            <b/>
            <sz val="9"/>
            <color indexed="81"/>
            <rFont val="Tahoma"/>
            <family val="2"/>
          </rPr>
          <t>Cristiano:</t>
        </r>
        <r>
          <rPr>
            <sz val="9"/>
            <color indexed="81"/>
            <rFont val="Tahoma"/>
            <family val="2"/>
          </rPr>
          <t xml:space="preserve">
Indicare X</t>
        </r>
      </text>
    </comment>
    <comment ref="E350" authorId="0" shapeId="0" xr:uid="{00000000-0006-0000-0200-000034000000}">
      <text>
        <r>
          <rPr>
            <b/>
            <sz val="9"/>
            <color indexed="81"/>
            <rFont val="Tahoma"/>
            <family val="2"/>
          </rPr>
          <t>Cristiano:</t>
        </r>
        <r>
          <rPr>
            <sz val="9"/>
            <color indexed="81"/>
            <rFont val="Tahoma"/>
            <family val="2"/>
          </rPr>
          <t xml:space="preserve">
Indicare X</t>
        </r>
      </text>
    </comment>
    <comment ref="G350" authorId="0" shapeId="0" xr:uid="{00000000-0006-0000-0200-000035000000}">
      <text>
        <r>
          <rPr>
            <b/>
            <sz val="9"/>
            <color indexed="81"/>
            <rFont val="Tahoma"/>
            <family val="2"/>
          </rPr>
          <t>Cristiano:</t>
        </r>
        <r>
          <rPr>
            <sz val="9"/>
            <color indexed="81"/>
            <rFont val="Tahoma"/>
            <family val="2"/>
          </rPr>
          <t xml:space="preserve">
Indicare X</t>
        </r>
      </text>
    </comment>
    <comment ref="I350" authorId="0" shapeId="0" xr:uid="{00000000-0006-0000-0200-000036000000}">
      <text>
        <r>
          <rPr>
            <b/>
            <sz val="9"/>
            <color indexed="81"/>
            <rFont val="Tahoma"/>
            <family val="2"/>
          </rPr>
          <t>Cristiano:</t>
        </r>
        <r>
          <rPr>
            <sz val="9"/>
            <color indexed="81"/>
            <rFont val="Tahoma"/>
            <family val="2"/>
          </rPr>
          <t xml:space="preserve">
Indicare X</t>
        </r>
      </text>
    </comment>
    <comment ref="B353" authorId="0" shapeId="0" xr:uid="{00000000-0006-0000-0200-000037000000}">
      <text>
        <r>
          <rPr>
            <b/>
            <sz val="9"/>
            <color indexed="81"/>
            <rFont val="Tahoma"/>
            <family val="2"/>
          </rPr>
          <t>Cristiano:</t>
        </r>
        <r>
          <rPr>
            <sz val="9"/>
            <color indexed="81"/>
            <rFont val="Tahoma"/>
            <family val="2"/>
          </rPr>
          <t xml:space="preserve">
Indicare X</t>
        </r>
      </text>
    </comment>
    <comment ref="C365" authorId="0" shapeId="0" xr:uid="{00000000-0006-0000-0200-000038000000}">
      <text>
        <r>
          <rPr>
            <b/>
            <sz val="9"/>
            <color indexed="81"/>
            <rFont val="Tahoma"/>
            <family val="2"/>
          </rPr>
          <t>Cristiano:</t>
        </r>
        <r>
          <rPr>
            <sz val="9"/>
            <color indexed="81"/>
            <rFont val="Tahoma"/>
            <family val="2"/>
          </rPr>
          <t xml:space="preserve">
Indicare X</t>
        </r>
      </text>
    </comment>
    <comment ref="E365" authorId="0" shapeId="0" xr:uid="{00000000-0006-0000-0200-000039000000}">
      <text>
        <r>
          <rPr>
            <b/>
            <sz val="9"/>
            <color indexed="81"/>
            <rFont val="Tahoma"/>
            <family val="2"/>
          </rPr>
          <t>Cristiano:</t>
        </r>
        <r>
          <rPr>
            <sz val="9"/>
            <color indexed="81"/>
            <rFont val="Tahoma"/>
            <family val="2"/>
          </rPr>
          <t xml:space="preserve">
Indicare X</t>
        </r>
      </text>
    </comment>
    <comment ref="G365" authorId="0" shapeId="0" xr:uid="{00000000-0006-0000-0200-00003A000000}">
      <text>
        <r>
          <rPr>
            <b/>
            <sz val="9"/>
            <color indexed="81"/>
            <rFont val="Tahoma"/>
            <family val="2"/>
          </rPr>
          <t>Cristiano:</t>
        </r>
        <r>
          <rPr>
            <sz val="9"/>
            <color indexed="81"/>
            <rFont val="Tahoma"/>
            <family val="2"/>
          </rPr>
          <t xml:space="preserve">
Indicare X</t>
        </r>
      </text>
    </comment>
    <comment ref="I365" authorId="0" shapeId="0" xr:uid="{00000000-0006-0000-0200-00003B000000}">
      <text>
        <r>
          <rPr>
            <b/>
            <sz val="9"/>
            <color indexed="81"/>
            <rFont val="Tahoma"/>
            <family val="2"/>
          </rPr>
          <t>Cristiano:</t>
        </r>
        <r>
          <rPr>
            <sz val="9"/>
            <color indexed="81"/>
            <rFont val="Tahoma"/>
            <family val="2"/>
          </rPr>
          <t xml:space="preserve">
Indicare X</t>
        </r>
      </text>
    </comment>
    <comment ref="E371" authorId="0" shapeId="0" xr:uid="{00000000-0006-0000-0200-00003C000000}">
      <text>
        <r>
          <rPr>
            <b/>
            <sz val="9"/>
            <color indexed="81"/>
            <rFont val="Tahoma"/>
            <family val="2"/>
          </rPr>
          <t>Cristiano:</t>
        </r>
        <r>
          <rPr>
            <sz val="9"/>
            <color indexed="81"/>
            <rFont val="Tahoma"/>
            <family val="2"/>
          </rPr>
          <t xml:space="preserve">
Indicare X</t>
        </r>
      </text>
    </comment>
    <comment ref="G371" authorId="0" shapeId="0" xr:uid="{00000000-0006-0000-0200-00003D000000}">
      <text>
        <r>
          <rPr>
            <b/>
            <sz val="9"/>
            <color indexed="81"/>
            <rFont val="Tahoma"/>
            <family val="2"/>
          </rPr>
          <t>Cristiano:</t>
        </r>
        <r>
          <rPr>
            <sz val="9"/>
            <color indexed="81"/>
            <rFont val="Tahoma"/>
            <family val="2"/>
          </rPr>
          <t xml:space="preserve">
Indicare X</t>
        </r>
      </text>
    </comment>
    <comment ref="B375" authorId="0" shapeId="0" xr:uid="{00000000-0006-0000-0200-00003E000000}">
      <text>
        <r>
          <rPr>
            <b/>
            <sz val="9"/>
            <color indexed="81"/>
            <rFont val="Tahoma"/>
            <family val="2"/>
          </rPr>
          <t>Cristiano:</t>
        </r>
        <r>
          <rPr>
            <sz val="9"/>
            <color indexed="81"/>
            <rFont val="Tahoma"/>
            <family val="2"/>
          </rPr>
          <t xml:space="preserve">
Indicare X</t>
        </r>
      </text>
    </comment>
    <comment ref="B390" authorId="0" shapeId="0" xr:uid="{00000000-0006-0000-0200-00003F000000}">
      <text>
        <r>
          <rPr>
            <b/>
            <sz val="9"/>
            <color indexed="81"/>
            <rFont val="Tahoma"/>
            <family val="2"/>
          </rPr>
          <t>Cristiano:</t>
        </r>
        <r>
          <rPr>
            <sz val="9"/>
            <color indexed="81"/>
            <rFont val="Tahoma"/>
            <family val="2"/>
          </rPr>
          <t xml:space="preserve">
Indicare X</t>
        </r>
      </text>
    </comment>
    <comment ref="B405" authorId="0" shapeId="0" xr:uid="{00000000-0006-0000-0200-000040000000}">
      <text>
        <r>
          <rPr>
            <b/>
            <sz val="9"/>
            <color indexed="81"/>
            <rFont val="Tahoma"/>
            <family val="2"/>
          </rPr>
          <t>Cristiano:</t>
        </r>
        <r>
          <rPr>
            <sz val="9"/>
            <color indexed="81"/>
            <rFont val="Tahoma"/>
            <family val="2"/>
          </rPr>
          <t xml:space="preserve">
Indicare X</t>
        </r>
      </text>
    </comment>
    <comment ref="B420" authorId="0" shapeId="0" xr:uid="{00000000-0006-0000-0200-000041000000}">
      <text>
        <r>
          <rPr>
            <b/>
            <sz val="9"/>
            <color indexed="81"/>
            <rFont val="Tahoma"/>
            <family val="2"/>
          </rPr>
          <t>Cristiano:</t>
        </r>
        <r>
          <rPr>
            <sz val="9"/>
            <color indexed="81"/>
            <rFont val="Tahoma"/>
            <family val="2"/>
          </rPr>
          <t xml:space="preserve">
Indicare X</t>
        </r>
      </text>
    </comment>
    <comment ref="B435" authorId="0" shapeId="0" xr:uid="{00000000-0006-0000-0200-000042000000}">
      <text>
        <r>
          <rPr>
            <b/>
            <sz val="9"/>
            <color indexed="81"/>
            <rFont val="Tahoma"/>
            <family val="2"/>
          </rPr>
          <t>Cristiano:</t>
        </r>
        <r>
          <rPr>
            <sz val="9"/>
            <color indexed="81"/>
            <rFont val="Tahoma"/>
            <family val="2"/>
          </rPr>
          <t xml:space="preserve">
Indicare X</t>
        </r>
      </text>
    </comment>
    <comment ref="B450" authorId="0" shapeId="0" xr:uid="{00000000-0006-0000-0200-000043000000}">
      <text>
        <r>
          <rPr>
            <b/>
            <sz val="9"/>
            <color indexed="81"/>
            <rFont val="Tahoma"/>
            <family val="2"/>
          </rPr>
          <t>Cristiano:</t>
        </r>
        <r>
          <rPr>
            <sz val="9"/>
            <color indexed="81"/>
            <rFont val="Tahoma"/>
            <family val="2"/>
          </rPr>
          <t xml:space="preserve">
Indicare X</t>
        </r>
      </text>
    </comment>
    <comment ref="B465" authorId="0" shapeId="0" xr:uid="{00000000-0006-0000-0200-000044000000}">
      <text>
        <r>
          <rPr>
            <b/>
            <sz val="9"/>
            <color indexed="81"/>
            <rFont val="Tahoma"/>
            <family val="2"/>
          </rPr>
          <t>Cristiano:</t>
        </r>
        <r>
          <rPr>
            <sz val="9"/>
            <color indexed="81"/>
            <rFont val="Tahoma"/>
            <family val="2"/>
          </rPr>
          <t xml:space="preserve">
Indicare X</t>
        </r>
      </text>
    </comment>
    <comment ref="B480" authorId="0" shapeId="0" xr:uid="{00000000-0006-0000-0200-000045000000}">
      <text>
        <r>
          <rPr>
            <b/>
            <sz val="9"/>
            <color indexed="81"/>
            <rFont val="Tahoma"/>
            <family val="2"/>
          </rPr>
          <t>Cristiano:</t>
        </r>
        <r>
          <rPr>
            <sz val="9"/>
            <color indexed="81"/>
            <rFont val="Tahoma"/>
            <family val="2"/>
          </rPr>
          <t xml:space="preserve">
Indicare X</t>
        </r>
      </text>
    </comment>
    <comment ref="B495" authorId="0" shapeId="0" xr:uid="{00000000-0006-0000-0200-000046000000}">
      <text>
        <r>
          <rPr>
            <b/>
            <sz val="9"/>
            <color indexed="81"/>
            <rFont val="Tahoma"/>
            <family val="2"/>
          </rPr>
          <t>Cristiano:</t>
        </r>
        <r>
          <rPr>
            <sz val="9"/>
            <color indexed="81"/>
            <rFont val="Tahoma"/>
            <family val="2"/>
          </rPr>
          <t xml:space="preserve">
Indicare X</t>
        </r>
      </text>
    </comment>
    <comment ref="B510" authorId="0" shapeId="0" xr:uid="{00000000-0006-0000-0200-000047000000}">
      <text>
        <r>
          <rPr>
            <b/>
            <sz val="9"/>
            <color indexed="81"/>
            <rFont val="Tahoma"/>
            <family val="2"/>
          </rPr>
          <t>Cristiano:</t>
        </r>
        <r>
          <rPr>
            <sz val="9"/>
            <color indexed="81"/>
            <rFont val="Tahoma"/>
            <family val="2"/>
          </rPr>
          <t xml:space="preserve">
Indicare X</t>
        </r>
      </text>
    </comment>
    <comment ref="B525" authorId="0" shapeId="0" xr:uid="{00000000-0006-0000-0200-000048000000}">
      <text>
        <r>
          <rPr>
            <b/>
            <sz val="9"/>
            <color indexed="81"/>
            <rFont val="Tahoma"/>
            <family val="2"/>
          </rPr>
          <t>Cristiano:</t>
        </r>
        <r>
          <rPr>
            <sz val="9"/>
            <color indexed="81"/>
            <rFont val="Tahoma"/>
            <family val="2"/>
          </rPr>
          <t xml:space="preserve">
Indicare X</t>
        </r>
      </text>
    </comment>
    <comment ref="B543" authorId="0" shapeId="0" xr:uid="{00000000-0006-0000-0200-000049000000}">
      <text>
        <r>
          <rPr>
            <b/>
            <sz val="9"/>
            <color indexed="81"/>
            <rFont val="Tahoma"/>
            <family val="2"/>
          </rPr>
          <t>Cristiano:</t>
        </r>
        <r>
          <rPr>
            <sz val="9"/>
            <color indexed="81"/>
            <rFont val="Tahoma"/>
            <family val="2"/>
          </rPr>
          <t xml:space="preserve">
Indicare X</t>
        </r>
      </text>
    </comment>
    <comment ref="B558" authorId="0" shapeId="0" xr:uid="{00000000-0006-0000-0200-00004A000000}">
      <text>
        <r>
          <rPr>
            <b/>
            <sz val="9"/>
            <color indexed="81"/>
            <rFont val="Tahoma"/>
            <family val="2"/>
          </rPr>
          <t>Cristiano:</t>
        </r>
        <r>
          <rPr>
            <sz val="9"/>
            <color indexed="81"/>
            <rFont val="Tahoma"/>
            <family val="2"/>
          </rPr>
          <t xml:space="preserve">
Indicare X</t>
        </r>
      </text>
    </comment>
    <comment ref="B573" authorId="0" shapeId="0" xr:uid="{00000000-0006-0000-0200-00004B000000}">
      <text>
        <r>
          <rPr>
            <b/>
            <sz val="9"/>
            <color indexed="81"/>
            <rFont val="Tahoma"/>
            <family val="2"/>
          </rPr>
          <t>Cristiano:</t>
        </r>
        <r>
          <rPr>
            <sz val="9"/>
            <color indexed="81"/>
            <rFont val="Tahoma"/>
            <family val="2"/>
          </rPr>
          <t xml:space="preserve">
Indicare X</t>
        </r>
      </text>
    </comment>
    <comment ref="B588" authorId="0" shapeId="0" xr:uid="{00000000-0006-0000-0200-00004C000000}">
      <text>
        <r>
          <rPr>
            <b/>
            <sz val="9"/>
            <color indexed="81"/>
            <rFont val="Tahoma"/>
            <family val="2"/>
          </rPr>
          <t>Cristiano:</t>
        </r>
        <r>
          <rPr>
            <sz val="9"/>
            <color indexed="81"/>
            <rFont val="Tahoma"/>
            <family val="2"/>
          </rPr>
          <t xml:space="preserve">
Indicare X</t>
        </r>
      </text>
    </comment>
    <comment ref="B603" authorId="0" shapeId="0" xr:uid="{00000000-0006-0000-0200-00004D000000}">
      <text>
        <r>
          <rPr>
            <b/>
            <sz val="9"/>
            <color indexed="81"/>
            <rFont val="Tahoma"/>
            <family val="2"/>
          </rPr>
          <t>Cristiano:</t>
        </r>
        <r>
          <rPr>
            <sz val="9"/>
            <color indexed="81"/>
            <rFont val="Tahoma"/>
            <family val="2"/>
          </rPr>
          <t xml:space="preserve">
Indicare X</t>
        </r>
      </text>
    </comment>
    <comment ref="B618" authorId="0" shapeId="0" xr:uid="{00000000-0006-0000-0200-00004E000000}">
      <text>
        <r>
          <rPr>
            <b/>
            <sz val="9"/>
            <color indexed="81"/>
            <rFont val="Tahoma"/>
            <family val="2"/>
          </rPr>
          <t>Cristiano:</t>
        </r>
        <r>
          <rPr>
            <sz val="9"/>
            <color indexed="81"/>
            <rFont val="Tahoma"/>
            <family val="2"/>
          </rPr>
          <t xml:space="preserve">
Indicare X</t>
        </r>
      </text>
    </comment>
    <comment ref="B633" authorId="0" shapeId="0" xr:uid="{00000000-0006-0000-0200-00004F000000}">
      <text>
        <r>
          <rPr>
            <b/>
            <sz val="9"/>
            <color indexed="81"/>
            <rFont val="Tahoma"/>
            <family val="2"/>
          </rPr>
          <t>Cristiano:</t>
        </r>
        <r>
          <rPr>
            <sz val="9"/>
            <color indexed="81"/>
            <rFont val="Tahoma"/>
            <family val="2"/>
          </rPr>
          <t xml:space="preserve">
Indicare X</t>
        </r>
      </text>
    </comment>
    <comment ref="B648" authorId="0" shapeId="0" xr:uid="{00000000-0006-0000-0200-000050000000}">
      <text>
        <r>
          <rPr>
            <b/>
            <sz val="9"/>
            <color indexed="81"/>
            <rFont val="Tahoma"/>
            <family val="2"/>
          </rPr>
          <t>Cristiano:</t>
        </r>
        <r>
          <rPr>
            <sz val="9"/>
            <color indexed="81"/>
            <rFont val="Tahoma"/>
            <family val="2"/>
          </rPr>
          <t xml:space="preserve">
Indicare X</t>
        </r>
      </text>
    </comment>
    <comment ref="B663" authorId="0" shapeId="0" xr:uid="{00000000-0006-0000-0200-000051000000}">
      <text>
        <r>
          <rPr>
            <b/>
            <sz val="9"/>
            <color indexed="81"/>
            <rFont val="Tahoma"/>
            <family val="2"/>
          </rPr>
          <t>Cristiano:</t>
        </r>
        <r>
          <rPr>
            <sz val="9"/>
            <color indexed="81"/>
            <rFont val="Tahoma"/>
            <family val="2"/>
          </rPr>
          <t xml:space="preserve">
Indicare X</t>
        </r>
      </text>
    </comment>
    <comment ref="B678" authorId="0" shapeId="0" xr:uid="{00000000-0006-0000-0200-000052000000}">
      <text>
        <r>
          <rPr>
            <b/>
            <sz val="9"/>
            <color indexed="81"/>
            <rFont val="Tahoma"/>
            <family val="2"/>
          </rPr>
          <t>Cristiano:</t>
        </r>
        <r>
          <rPr>
            <sz val="9"/>
            <color indexed="81"/>
            <rFont val="Tahoma"/>
            <family val="2"/>
          </rPr>
          <t xml:space="preserve">
Indicare X</t>
        </r>
      </text>
    </comment>
    <comment ref="B693" authorId="0" shapeId="0" xr:uid="{00000000-0006-0000-0200-000053000000}">
      <text>
        <r>
          <rPr>
            <b/>
            <sz val="9"/>
            <color indexed="81"/>
            <rFont val="Tahoma"/>
            <family val="2"/>
          </rPr>
          <t>Cristiano:</t>
        </r>
        <r>
          <rPr>
            <sz val="9"/>
            <color indexed="81"/>
            <rFont val="Tahoma"/>
            <family val="2"/>
          </rPr>
          <t xml:space="preserve">
Indicare X</t>
        </r>
      </text>
    </comment>
    <comment ref="E837" authorId="0" shapeId="0" xr:uid="{00000000-0006-0000-0200-000054000000}">
      <text>
        <r>
          <rPr>
            <b/>
            <sz val="9"/>
            <color indexed="81"/>
            <rFont val="Tahoma"/>
            <family val="2"/>
          </rPr>
          <t>Cristiano:</t>
        </r>
        <r>
          <rPr>
            <sz val="9"/>
            <color indexed="81"/>
            <rFont val="Tahoma"/>
            <family val="2"/>
          </rPr>
          <t xml:space="preserve">
Indicare X</t>
        </r>
      </text>
    </comment>
    <comment ref="E838" authorId="0" shapeId="0" xr:uid="{00000000-0006-0000-0200-000055000000}">
      <text>
        <r>
          <rPr>
            <b/>
            <sz val="9"/>
            <color indexed="81"/>
            <rFont val="Tahoma"/>
            <family val="2"/>
          </rPr>
          <t>Cristiano:</t>
        </r>
        <r>
          <rPr>
            <sz val="9"/>
            <color indexed="81"/>
            <rFont val="Tahoma"/>
            <family val="2"/>
          </rPr>
          <t xml:space="preserve">
Indicare X</t>
        </r>
      </text>
    </comment>
    <comment ref="E890" authorId="0" shapeId="0" xr:uid="{00000000-0006-0000-0200-000056000000}">
      <text>
        <r>
          <rPr>
            <b/>
            <sz val="9"/>
            <color indexed="81"/>
            <rFont val="Tahoma"/>
            <family val="2"/>
          </rPr>
          <t>Cristiano:</t>
        </r>
        <r>
          <rPr>
            <sz val="9"/>
            <color indexed="81"/>
            <rFont val="Tahoma"/>
            <family val="2"/>
          </rPr>
          <t xml:space="preserve">
Indicare X</t>
        </r>
      </text>
    </comment>
    <comment ref="E891" authorId="0" shapeId="0" xr:uid="{00000000-0006-0000-0200-000057000000}">
      <text>
        <r>
          <rPr>
            <b/>
            <sz val="9"/>
            <color indexed="81"/>
            <rFont val="Tahoma"/>
            <family val="2"/>
          </rPr>
          <t>Cristiano:</t>
        </r>
        <r>
          <rPr>
            <sz val="9"/>
            <color indexed="81"/>
            <rFont val="Tahoma"/>
            <family val="2"/>
          </rPr>
          <t xml:space="preserve">
Indicare X</t>
        </r>
      </text>
    </comment>
  </commentList>
</comments>
</file>

<file path=xl/sharedStrings.xml><?xml version="1.0" encoding="utf-8"?>
<sst xmlns="http://schemas.openxmlformats.org/spreadsheetml/2006/main" count="5736" uniqueCount="1770">
  <si>
    <t>B</t>
  </si>
  <si>
    <t>%</t>
  </si>
  <si>
    <t>centrad</t>
  </si>
  <si>
    <t>cos_fi</t>
  </si>
  <si>
    <t>fi_rad</t>
  </si>
  <si>
    <t>rad</t>
  </si>
  <si>
    <t>MPE_contatore</t>
  </si>
  <si>
    <t>MPE_sistema</t>
  </si>
  <si>
    <t>CONTATORE</t>
  </si>
  <si>
    <t>TA</t>
  </si>
  <si>
    <t>TV</t>
  </si>
  <si>
    <t>Max errore rapporto</t>
  </si>
  <si>
    <t>Max errore angolo</t>
  </si>
  <si>
    <t>C</t>
  </si>
  <si>
    <t>0,5S</t>
  </si>
  <si>
    <t>0,2S</t>
  </si>
  <si>
    <t>CLASSE_TA</t>
  </si>
  <si>
    <t>CLASSE_TV</t>
  </si>
  <si>
    <t>n.d.</t>
  </si>
  <si>
    <t>CORRENTE NOMINALE</t>
  </si>
  <si>
    <t>A</t>
  </si>
  <si>
    <t>TIPO INSERZIONE</t>
  </si>
  <si>
    <t>Diretta</t>
  </si>
  <si>
    <t>Semid./Indiretta</t>
  </si>
  <si>
    <t>CORRENTE DI TRANSIZIONE</t>
  </si>
  <si>
    <t>CORRENTE MINIMA</t>
  </si>
  <si>
    <t>CLASSE DI PRECISIONE</t>
  </si>
  <si>
    <t>CORRENTE DI PROVA</t>
  </si>
  <si>
    <t>SFASAMENTO DI RIFERIMENTO</t>
  </si>
  <si>
    <t>I</t>
  </si>
  <si>
    <r>
      <t>I</t>
    </r>
    <r>
      <rPr>
        <vertAlign val="subscript"/>
        <sz val="11"/>
        <color theme="1"/>
        <rFont val="Calibri"/>
        <family val="2"/>
        <scheme val="minor"/>
      </rPr>
      <t>N</t>
    </r>
  </si>
  <si>
    <r>
      <t>I</t>
    </r>
    <r>
      <rPr>
        <vertAlign val="subscript"/>
        <sz val="11"/>
        <color theme="1"/>
        <rFont val="Calibri"/>
        <family val="2"/>
        <scheme val="minor"/>
      </rPr>
      <t>MIN</t>
    </r>
  </si>
  <si>
    <r>
      <t>I</t>
    </r>
    <r>
      <rPr>
        <vertAlign val="subscript"/>
        <sz val="11"/>
        <color theme="1"/>
        <rFont val="Calibri"/>
        <family val="2"/>
        <scheme val="minor"/>
      </rPr>
      <t>TR</t>
    </r>
  </si>
  <si>
    <r>
      <t>I</t>
    </r>
    <r>
      <rPr>
        <vertAlign val="subscript"/>
        <sz val="11"/>
        <color theme="1"/>
        <rFont val="Calibri"/>
        <family val="2"/>
        <scheme val="minor"/>
      </rPr>
      <t>MIN</t>
    </r>
    <r>
      <rPr>
        <sz val="11"/>
        <color theme="1"/>
        <rFont val="Calibri"/>
        <family val="2"/>
        <scheme val="minor"/>
      </rPr>
      <t>&lt;=I&lt;I</t>
    </r>
    <r>
      <rPr>
        <vertAlign val="subscript"/>
        <sz val="11"/>
        <color theme="1"/>
        <rFont val="Calibri"/>
        <family val="2"/>
        <scheme val="minor"/>
      </rPr>
      <t>TR</t>
    </r>
  </si>
  <si>
    <r>
      <t>I</t>
    </r>
    <r>
      <rPr>
        <vertAlign val="subscript"/>
        <sz val="11"/>
        <color theme="1"/>
        <rFont val="Calibri"/>
        <family val="2"/>
        <scheme val="minor"/>
      </rPr>
      <t>MIN</t>
    </r>
    <r>
      <rPr>
        <sz val="11"/>
        <color theme="1"/>
        <rFont val="Calibri"/>
        <family val="2"/>
        <scheme val="minor"/>
      </rPr>
      <t>&lt;=I&lt;I</t>
    </r>
    <r>
      <rPr>
        <vertAlign val="subscript"/>
        <sz val="11"/>
        <color theme="1"/>
        <rFont val="Calibri"/>
        <family val="2"/>
        <scheme val="minor"/>
      </rPr>
      <t>TR</t>
    </r>
    <r>
      <rPr>
        <sz val="11"/>
        <color theme="1"/>
        <rFont val="Calibri"/>
        <family val="2"/>
        <scheme val="minor"/>
      </rPr>
      <t xml:space="preserve"> ?</t>
    </r>
  </si>
  <si>
    <t>CONDIZIONI DI PROVA</t>
  </si>
  <si>
    <t>MASSIMO ERRORE DI RAPPORTO</t>
  </si>
  <si>
    <t>MASSIMO ERRORE D'ANGOLO</t>
  </si>
  <si>
    <t>MPE_TA/TV</t>
  </si>
  <si>
    <t>RISULTATI ERRORI MASSIMI</t>
  </si>
  <si>
    <r>
      <t>I</t>
    </r>
    <r>
      <rPr>
        <vertAlign val="subscript"/>
        <sz val="11"/>
        <color theme="1"/>
        <rFont val="Calibri"/>
        <family val="2"/>
        <scheme val="minor"/>
      </rPr>
      <t>MIN</t>
    </r>
    <r>
      <rPr>
        <sz val="11"/>
        <color theme="1"/>
        <rFont val="Calibri"/>
        <family val="2"/>
        <scheme val="minor"/>
      </rPr>
      <t>&lt;=I&lt;0,1*I</t>
    </r>
    <r>
      <rPr>
        <vertAlign val="subscript"/>
        <sz val="11"/>
        <color theme="1"/>
        <rFont val="Calibri"/>
        <family val="2"/>
        <scheme val="minor"/>
      </rPr>
      <t>N</t>
    </r>
    <r>
      <rPr>
        <sz val="11"/>
        <color theme="1"/>
        <rFont val="Calibri"/>
        <family val="2"/>
        <scheme val="minor"/>
      </rPr>
      <t xml:space="preserve"> ?</t>
    </r>
  </si>
  <si>
    <t>ESITO VALUTAZIONE</t>
  </si>
  <si>
    <t>TIPO DI MISURA</t>
  </si>
  <si>
    <t>Su primario</t>
  </si>
  <si>
    <t>Su secondario</t>
  </si>
  <si>
    <t>Valutazione con errore globale e misura su PRIMARIO (diretta/semid/indir)</t>
  </si>
  <si>
    <t>TEMPERATURA FUNZIONAMENTO</t>
  </si>
  <si>
    <t>da -40°C a -25°C</t>
  </si>
  <si>
    <t>da+55°C a +70°C</t>
  </si>
  <si>
    <t>da -25°C a -10°C</t>
  </si>
  <si>
    <t>da+40°C a +55°C</t>
  </si>
  <si>
    <t>da -10°C a +5°C</t>
  </si>
  <si>
    <t>da+30°C a +40°C</t>
  </si>
  <si>
    <t>da +5°C a +30°C</t>
  </si>
  <si>
    <t>Classe contatore</t>
  </si>
  <si>
    <r>
      <t>I</t>
    </r>
    <r>
      <rPr>
        <vertAlign val="subscript"/>
        <sz val="11"/>
        <color theme="1"/>
        <rFont val="Calibri"/>
        <family val="2"/>
        <scheme val="minor"/>
      </rPr>
      <t>TR</t>
    </r>
    <r>
      <rPr>
        <sz val="11"/>
        <color theme="1"/>
        <rFont val="Calibri"/>
        <family val="2"/>
        <scheme val="minor"/>
      </rPr>
      <t>&lt;=I&lt;I</t>
    </r>
    <r>
      <rPr>
        <vertAlign val="subscript"/>
        <sz val="11"/>
        <color theme="1"/>
        <rFont val="Calibri"/>
        <family val="2"/>
        <scheme val="minor"/>
      </rPr>
      <t>MAX</t>
    </r>
  </si>
  <si>
    <t>Contatori monofase; Contatori trifase se funzionanti con carico equilibrato</t>
  </si>
  <si>
    <t>Contatori trifase se funzionanti con carico monofase</t>
  </si>
  <si>
    <r>
      <t>I</t>
    </r>
    <r>
      <rPr>
        <vertAlign val="subscript"/>
        <sz val="11"/>
        <color theme="1"/>
        <rFont val="Calibri"/>
        <family val="2"/>
        <scheme val="minor"/>
      </rPr>
      <t>MIN</t>
    </r>
    <r>
      <rPr>
        <sz val="11"/>
        <color theme="1"/>
        <rFont val="Calibri"/>
        <family val="2"/>
        <scheme val="minor"/>
      </rPr>
      <t>&lt;=I&lt;0,1*I</t>
    </r>
    <r>
      <rPr>
        <vertAlign val="subscript"/>
        <sz val="11"/>
        <color theme="1"/>
        <rFont val="Calibri"/>
        <family val="2"/>
        <scheme val="minor"/>
      </rPr>
      <t>N</t>
    </r>
  </si>
  <si>
    <r>
      <t>0,1*I</t>
    </r>
    <r>
      <rPr>
        <vertAlign val="subscript"/>
        <sz val="11"/>
        <color theme="1"/>
        <rFont val="Calibri"/>
        <family val="2"/>
        <scheme val="minor"/>
      </rPr>
      <t>N</t>
    </r>
    <r>
      <rPr>
        <sz val="11"/>
        <color theme="1"/>
        <rFont val="Calibri"/>
        <family val="2"/>
        <scheme val="minor"/>
      </rPr>
      <t>&lt;=I&lt;I</t>
    </r>
    <r>
      <rPr>
        <vertAlign val="subscript"/>
        <sz val="11"/>
        <color theme="1"/>
        <rFont val="Calibri"/>
        <family val="2"/>
        <scheme val="minor"/>
      </rPr>
      <t>MAX</t>
    </r>
  </si>
  <si>
    <t>TENSIONE DI PROVA</t>
  </si>
  <si>
    <t>V</t>
  </si>
  <si>
    <t>Valutazione con errore SOLO contatore e misura su SECONDARIO (semid/indir)-Certif TA/TV in possesso</t>
  </si>
  <si>
    <t>Valutazione con errore SOLO contatore e misura su SECONDARIO (semid/indir)-Certif TA/TV NON in possesso</t>
  </si>
  <si>
    <t>ESISTENZA CERTIFICATI TA/TV</t>
  </si>
  <si>
    <t>MASSIMO ERRORE AMMESSO-CONTATORE</t>
  </si>
  <si>
    <t>MASSIMO ERRORE AMMESSO-TA/TV</t>
  </si>
  <si>
    <t>MASSIMO ERRORE AMMESSO-SISTEMA</t>
  </si>
  <si>
    <t>err_rapporto_TA</t>
  </si>
  <si>
    <t>err_angolo_TA</t>
  </si>
  <si>
    <t>err_rapporto_TV</t>
  </si>
  <si>
    <t>err_angolo_TV</t>
  </si>
  <si>
    <r>
      <t>η_</t>
    </r>
    <r>
      <rPr>
        <vertAlign val="subscript"/>
        <sz val="10"/>
        <rFont val="Arial"/>
        <family val="2"/>
      </rPr>
      <t>TA1</t>
    </r>
  </si>
  <si>
    <r>
      <t>ε_</t>
    </r>
    <r>
      <rPr>
        <vertAlign val="subscript"/>
        <sz val="10"/>
        <rFont val="Arial"/>
        <family val="2"/>
      </rPr>
      <t>TA1</t>
    </r>
  </si>
  <si>
    <r>
      <t>η_</t>
    </r>
    <r>
      <rPr>
        <vertAlign val="subscript"/>
        <sz val="10"/>
        <rFont val="Arial"/>
        <family val="2"/>
      </rPr>
      <t>TA2</t>
    </r>
  </si>
  <si>
    <r>
      <t>ε_</t>
    </r>
    <r>
      <rPr>
        <vertAlign val="subscript"/>
        <sz val="10"/>
        <rFont val="Arial"/>
        <family val="2"/>
      </rPr>
      <t>TA2</t>
    </r>
  </si>
  <si>
    <r>
      <t>η_</t>
    </r>
    <r>
      <rPr>
        <vertAlign val="subscript"/>
        <sz val="10"/>
        <rFont val="Arial"/>
        <family val="2"/>
      </rPr>
      <t>TA3</t>
    </r>
  </si>
  <si>
    <r>
      <t>ε_</t>
    </r>
    <r>
      <rPr>
        <vertAlign val="subscript"/>
        <sz val="10"/>
        <rFont val="Arial"/>
        <family val="2"/>
      </rPr>
      <t>TA3</t>
    </r>
  </si>
  <si>
    <r>
      <t>η_</t>
    </r>
    <r>
      <rPr>
        <vertAlign val="subscript"/>
        <sz val="10"/>
        <rFont val="Arial"/>
        <family val="2"/>
      </rPr>
      <t>TV1</t>
    </r>
  </si>
  <si>
    <r>
      <t>ε_</t>
    </r>
    <r>
      <rPr>
        <vertAlign val="subscript"/>
        <sz val="10"/>
        <rFont val="Arial"/>
        <family val="2"/>
      </rPr>
      <t>TV1</t>
    </r>
  </si>
  <si>
    <r>
      <t>η_</t>
    </r>
    <r>
      <rPr>
        <vertAlign val="subscript"/>
        <sz val="10"/>
        <rFont val="Arial"/>
        <family val="2"/>
      </rPr>
      <t>TV2</t>
    </r>
  </si>
  <si>
    <r>
      <t>ε_</t>
    </r>
    <r>
      <rPr>
        <vertAlign val="subscript"/>
        <sz val="10"/>
        <rFont val="Arial"/>
        <family val="2"/>
      </rPr>
      <t>TV2</t>
    </r>
  </si>
  <si>
    <r>
      <t>η_</t>
    </r>
    <r>
      <rPr>
        <vertAlign val="subscript"/>
        <sz val="10"/>
        <rFont val="Arial"/>
        <family val="2"/>
      </rPr>
      <t>TV3</t>
    </r>
  </si>
  <si>
    <r>
      <t>ε_</t>
    </r>
    <r>
      <rPr>
        <vertAlign val="subscript"/>
        <sz val="10"/>
        <rFont val="Arial"/>
        <family val="2"/>
      </rPr>
      <t>TV3</t>
    </r>
  </si>
  <si>
    <t>VA</t>
  </si>
  <si>
    <t>c_radianti</t>
  </si>
  <si>
    <t>Tensione di prova</t>
  </si>
  <si>
    <t>Corrente di prova</t>
  </si>
  <si>
    <t>ERRORE TRASFORMATORI AMPEROMETRICI</t>
  </si>
  <si>
    <t>TRASFORMATORE AMPEROMETRICO N.1</t>
  </si>
  <si>
    <t>Max corrente secondario</t>
  </si>
  <si>
    <t>Prestazione reale</t>
  </si>
  <si>
    <t>Prestazione nominale</t>
  </si>
  <si>
    <t>% prestazione</t>
  </si>
  <si>
    <t>% prestazione calcolo</t>
  </si>
  <si>
    <t>Prestazione</t>
  </si>
  <si>
    <t>%_Corrente di prova</t>
  </si>
  <si>
    <t>N.D.</t>
  </si>
  <si>
    <t>Ia%</t>
  </si>
  <si>
    <t>Ib%</t>
  </si>
  <si>
    <t>Ic%</t>
  </si>
  <si>
    <t>Id%</t>
  </si>
  <si>
    <t>Ie%</t>
  </si>
  <si>
    <t>If%</t>
  </si>
  <si>
    <t>Corrente effettiva carico reale</t>
  </si>
  <si>
    <t>Corrente calcolo TA</t>
  </si>
  <si>
    <t>TRASFORMATORE AMPEROMETRICO N.2</t>
  </si>
  <si>
    <t>TRASFORMATORE AMPEROMETRICO N.3</t>
  </si>
  <si>
    <t>ERRORE TRASFORMATORI VOLTMETRICI</t>
  </si>
  <si>
    <t>TRASFORMATORE VOLTMETRICO N.1</t>
  </si>
  <si>
    <t>Tensione secondaria nominale</t>
  </si>
  <si>
    <t>%_Tensione di prova</t>
  </si>
  <si>
    <t>Va%</t>
  </si>
  <si>
    <t>Vb%</t>
  </si>
  <si>
    <t>Vc%</t>
  </si>
  <si>
    <t>Vd%</t>
  </si>
  <si>
    <t>Ve%</t>
  </si>
  <si>
    <t>Vf%</t>
  </si>
  <si>
    <t>Tensione effettiva carico reale</t>
  </si>
  <si>
    <t>Tensione calcolo TV</t>
  </si>
  <si>
    <t>TRASFORMATORE VOLTMETRICO N.2</t>
  </si>
  <si>
    <t>TRASFORMATORE VOLTMETRICO N.3</t>
  </si>
  <si>
    <t>ERRORE CONNESSIONI VOLTMETRICHE</t>
  </si>
  <si>
    <t>CONNESSIONE VOLTMETRICA N.1</t>
  </si>
  <si>
    <t>Consumo di potenza attiva circuito voltmetrico - p</t>
  </si>
  <si>
    <t>W</t>
  </si>
  <si>
    <t>Consumo di potenza reattiva circuito voltmetrico - q</t>
  </si>
  <si>
    <t>War</t>
  </si>
  <si>
    <t>Tensione al secondario del TV</t>
  </si>
  <si>
    <t>Tratto connessione</t>
  </si>
  <si>
    <t>Cod tratta</t>
  </si>
  <si>
    <t>resistenza unitaria tratto</t>
  </si>
  <si>
    <t>Errore in ampiezza del collegamento:</t>
  </si>
  <si>
    <t>Errore d'angolo del collegamento:</t>
  </si>
  <si>
    <t>sez cavi</t>
  </si>
  <si>
    <t>r_1</t>
  </si>
  <si>
    <t>L_1</t>
  </si>
  <si>
    <t>r_tot_1</t>
  </si>
  <si>
    <r>
      <t>η_</t>
    </r>
    <r>
      <rPr>
        <vertAlign val="subscript"/>
        <sz val="10"/>
        <rFont val="Arial"/>
        <family val="2"/>
      </rPr>
      <t>c1</t>
    </r>
  </si>
  <si>
    <r>
      <t>ε_</t>
    </r>
    <r>
      <rPr>
        <vertAlign val="subscript"/>
        <sz val="10"/>
        <rFont val="Arial"/>
        <family val="2"/>
      </rPr>
      <t>c1</t>
    </r>
  </si>
  <si>
    <t>mm2</t>
  </si>
  <si>
    <t>RESIST</t>
  </si>
  <si>
    <t>ohm/km</t>
  </si>
  <si>
    <t>m</t>
  </si>
  <si>
    <t>ohm</t>
  </si>
  <si>
    <t>da secondari TV a armadio smistamento</t>
  </si>
  <si>
    <t>da armadio smistamento a morsettiera in armadio misure</t>
  </si>
  <si>
    <t>II</t>
  </si>
  <si>
    <t>da morsettiera in armadio misure a morsetti contatore</t>
  </si>
  <si>
    <t>III</t>
  </si>
  <si>
    <t>eventuali alim aux esterna per disp in armadio misure</t>
  </si>
  <si>
    <t>IV</t>
  </si>
  <si>
    <t>CONNESSIONE VOLTMETRICA N.2</t>
  </si>
  <si>
    <t>r_2</t>
  </si>
  <si>
    <t>L_2</t>
  </si>
  <si>
    <t>r_tot_2</t>
  </si>
  <si>
    <r>
      <t>η_</t>
    </r>
    <r>
      <rPr>
        <vertAlign val="subscript"/>
        <sz val="10"/>
        <rFont val="Arial"/>
        <family val="2"/>
      </rPr>
      <t>c2</t>
    </r>
  </si>
  <si>
    <r>
      <t>ε_</t>
    </r>
    <r>
      <rPr>
        <vertAlign val="subscript"/>
        <sz val="10"/>
        <rFont val="Arial"/>
        <family val="2"/>
      </rPr>
      <t>c2</t>
    </r>
  </si>
  <si>
    <t>CONNESSIONE VOLTMETRICA N.3</t>
  </si>
  <si>
    <t>r_3</t>
  </si>
  <si>
    <t>L_3</t>
  </si>
  <si>
    <t>r_tot_3</t>
  </si>
  <si>
    <r>
      <t>η_</t>
    </r>
    <r>
      <rPr>
        <vertAlign val="subscript"/>
        <sz val="10"/>
        <rFont val="Arial"/>
        <family val="2"/>
      </rPr>
      <t>c3</t>
    </r>
  </si>
  <si>
    <r>
      <t>ε_</t>
    </r>
    <r>
      <rPr>
        <vertAlign val="subscript"/>
        <sz val="10"/>
        <rFont val="Arial"/>
        <family val="2"/>
      </rPr>
      <t>c3</t>
    </r>
  </si>
  <si>
    <t>CIFRE SIGNIFICATIVE SU MISURA CORRENTI</t>
  </si>
  <si>
    <t>CARICO INDUTTIVO/CAPACITIVO</t>
  </si>
  <si>
    <t>TENSIONI</t>
  </si>
  <si>
    <t>U1</t>
  </si>
  <si>
    <t>U2</t>
  </si>
  <si>
    <t>U3</t>
  </si>
  <si>
    <t>CORRENTI</t>
  </si>
  <si>
    <t>I1</t>
  </si>
  <si>
    <t>I2</t>
  </si>
  <si>
    <t>I3</t>
  </si>
  <si>
    <t>FDP</t>
  </si>
  <si>
    <t>CAP/IND</t>
  </si>
  <si>
    <t>MISURA N.1</t>
  </si>
  <si>
    <t>ERRORE_1</t>
  </si>
  <si>
    <t>ERRORE_2</t>
  </si>
  <si>
    <t>ERRORE_3</t>
  </si>
  <si>
    <t>MISURA N.2</t>
  </si>
  <si>
    <t>MISURA N.3</t>
  </si>
  <si>
    <t>MISURA N.4</t>
  </si>
  <si>
    <t>MISURA N.5</t>
  </si>
  <si>
    <t>DATI GENERALI</t>
  </si>
  <si>
    <t>L</t>
  </si>
  <si>
    <t>TEMPERATURA DI PROVA</t>
  </si>
  <si>
    <t>°C</t>
  </si>
  <si>
    <t>U_MEDIA</t>
  </si>
  <si>
    <t>I_MEDIA</t>
  </si>
  <si>
    <t>CIFRE SIGNIFICATIVE SU MISURA TENSIONI</t>
  </si>
  <si>
    <t>ERRORE_MEDIO</t>
  </si>
  <si>
    <r>
      <t>e</t>
    </r>
    <r>
      <rPr>
        <vertAlign val="subscript"/>
        <sz val="11"/>
        <color theme="1"/>
        <rFont val="Calibri"/>
        <family val="2"/>
        <scheme val="minor"/>
      </rPr>
      <t>glob</t>
    </r>
    <r>
      <rPr>
        <sz val="11"/>
        <color theme="1"/>
        <rFont val="Calibri"/>
        <family val="2"/>
        <scheme val="minor"/>
      </rPr>
      <t xml:space="preserve"> / e</t>
    </r>
    <r>
      <rPr>
        <vertAlign val="subscript"/>
        <sz val="11"/>
        <color theme="1"/>
        <rFont val="Calibri"/>
        <family val="2"/>
        <scheme val="minor"/>
      </rPr>
      <t>cont</t>
    </r>
  </si>
  <si>
    <t>Errore medio misurato</t>
  </si>
  <si>
    <t>Errore contatore</t>
  </si>
  <si>
    <t>Errore connessioni</t>
  </si>
  <si>
    <t>Errore TA</t>
  </si>
  <si>
    <t>Errore TV</t>
  </si>
  <si>
    <t>Errore complessivo</t>
  </si>
  <si>
    <t>COD.LETTURA</t>
  </si>
  <si>
    <t>COD.</t>
  </si>
  <si>
    <t>ERR_MIS</t>
  </si>
  <si>
    <t>ERR_CONN</t>
  </si>
  <si>
    <t>ERR_TA</t>
  </si>
  <si>
    <t>ERR_TV</t>
  </si>
  <si>
    <t>ERR_COMPL</t>
  </si>
  <si>
    <t>MPE_cont</t>
  </si>
  <si>
    <t>MPE_trasf</t>
  </si>
  <si>
    <t>MPE_sist</t>
  </si>
  <si>
    <t>ESITO</t>
  </si>
  <si>
    <t>PROVA</t>
  </si>
  <si>
    <r>
      <t>I</t>
    </r>
    <r>
      <rPr>
        <vertAlign val="subscript"/>
        <sz val="11"/>
        <color theme="1"/>
        <rFont val="Calibri"/>
        <family val="2"/>
        <scheme val="minor"/>
      </rPr>
      <t>MIN</t>
    </r>
    <r>
      <rPr>
        <sz val="11"/>
        <color theme="1"/>
        <rFont val="Calibri"/>
        <family val="2"/>
        <scheme val="minor"/>
      </rPr>
      <t>&lt;=I&lt;I</t>
    </r>
    <r>
      <rPr>
        <vertAlign val="subscript"/>
        <sz val="11"/>
        <color theme="1"/>
        <rFont val="Calibri"/>
        <family val="2"/>
        <scheme val="minor"/>
      </rPr>
      <t>TR</t>
    </r>
    <r>
      <rPr>
        <sz val="11"/>
        <color theme="1"/>
        <rFont val="Calibri"/>
        <family val="2"/>
        <scheme val="minor"/>
      </rPr>
      <t xml:space="preserve"> ? (info solo per cl. A o C)</t>
    </r>
  </si>
  <si>
    <r>
      <t>I</t>
    </r>
    <r>
      <rPr>
        <vertAlign val="subscript"/>
        <sz val="11"/>
        <color theme="1"/>
        <rFont val="Calibri"/>
        <family val="2"/>
        <scheme val="minor"/>
      </rPr>
      <t>MIN</t>
    </r>
    <r>
      <rPr>
        <sz val="11"/>
        <color theme="1"/>
        <rFont val="Calibri"/>
        <family val="2"/>
        <scheme val="minor"/>
      </rPr>
      <t>&lt;=I&lt;0,1*I</t>
    </r>
    <r>
      <rPr>
        <vertAlign val="subscript"/>
        <sz val="11"/>
        <color theme="1"/>
        <rFont val="Calibri"/>
        <family val="2"/>
        <scheme val="minor"/>
      </rPr>
      <t>N</t>
    </r>
    <r>
      <rPr>
        <sz val="11"/>
        <color theme="1"/>
        <rFont val="Calibri"/>
        <family val="2"/>
        <scheme val="minor"/>
      </rPr>
      <t xml:space="preserve"> ? (info solo per 0,2S)</t>
    </r>
  </si>
  <si>
    <t>PRESENZA TA</t>
  </si>
  <si>
    <t>PRESENZA TV</t>
  </si>
  <si>
    <t>GIUDIZIO COMPLESSIVO</t>
  </si>
  <si>
    <t>PRESTAZIONE NOMINALE</t>
  </si>
  <si>
    <t>PRESTAZIONE REALE_TA1</t>
  </si>
  <si>
    <t>PRESTAZIONE REALE_TA2</t>
  </si>
  <si>
    <t>PRESTAZIONE REALE_TA3</t>
  </si>
  <si>
    <t>PRESTAZIONE REALE_TV1</t>
  </si>
  <si>
    <t>PRESTAZIONE REALE_TV2</t>
  </si>
  <si>
    <t>PRESTAZIONE REALE_TV3</t>
  </si>
  <si>
    <t>err_ang</t>
  </si>
  <si>
    <t>I_1</t>
  </si>
  <si>
    <t>I_2</t>
  </si>
  <si>
    <t>I_3</t>
  </si>
  <si>
    <t>V_1</t>
  </si>
  <si>
    <t>V_2</t>
  </si>
  <si>
    <t>V_3</t>
  </si>
  <si>
    <t>C/L</t>
  </si>
  <si>
    <t>CONNESSIONI TV TRASCURABILI</t>
  </si>
  <si>
    <t>N PROVA</t>
  </si>
  <si>
    <t>Tensione</t>
  </si>
  <si>
    <t>Corrente</t>
  </si>
  <si>
    <t>X=SI</t>
  </si>
  <si>
    <t>V_MEDIA</t>
  </si>
  <si>
    <t>COMPILAZ</t>
  </si>
  <si>
    <t>COD.LETT</t>
  </si>
  <si>
    <t>% CARICO</t>
  </si>
  <si>
    <t>CIFRE SIGNIFICATIVE SU ERRORE CONT CAMPIONE</t>
  </si>
  <si>
    <t>ENERGHIA SRL</t>
  </si>
  <si>
    <t>Codice:</t>
  </si>
  <si>
    <t>Revisione</t>
  </si>
  <si>
    <t>Approvato da</t>
  </si>
  <si>
    <t>Data emissione</t>
  </si>
  <si>
    <t>ENE-Mod-504-02-02</t>
  </si>
  <si>
    <t>DATA VERIFICA</t>
  </si>
  <si>
    <t>F1</t>
  </si>
  <si>
    <t>ELENCO PROVE</t>
  </si>
  <si>
    <t>REALE-MISURA1</t>
  </si>
  <si>
    <t>REALE-MISURA2</t>
  </si>
  <si>
    <t>REALE-MISURA3</t>
  </si>
  <si>
    <t>REALE-MISURA4</t>
  </si>
  <si>
    <t>REALE-MISURA5</t>
  </si>
  <si>
    <t>FITTIZIO-RST-5%-FDP1</t>
  </si>
  <si>
    <t>FITTIZIO-RST-5%-FDP0,5</t>
  </si>
  <si>
    <t>FITTIZIO-RST-20%-FDP1</t>
  </si>
  <si>
    <t>FITTIZIO-RST-20%-FDP0,5</t>
  </si>
  <si>
    <t>FITTIZIO-RST-100%-FDP1</t>
  </si>
  <si>
    <t>FITTIZIO-RST-100%-FDP0,5</t>
  </si>
  <si>
    <t>FITTIZIO-RST-120%-FDP1</t>
  </si>
  <si>
    <t>FITTIZIO-RST-120%-FDP0,5</t>
  </si>
  <si>
    <t>FITTIZIO-R-100%-FDP1</t>
  </si>
  <si>
    <t>FITTIZIO-S-100%-FDP1</t>
  </si>
  <si>
    <t>FITTIZIO-T-100%-FDP1</t>
  </si>
  <si>
    <t>R1</t>
  </si>
  <si>
    <t>R2</t>
  </si>
  <si>
    <t>R3</t>
  </si>
  <si>
    <t>R4</t>
  </si>
  <si>
    <t>R5</t>
  </si>
  <si>
    <t>F2</t>
  </si>
  <si>
    <t>F3</t>
  </si>
  <si>
    <t>F4</t>
  </si>
  <si>
    <t>F5</t>
  </si>
  <si>
    <t>F6</t>
  </si>
  <si>
    <t>F7</t>
  </si>
  <si>
    <t>F8</t>
  </si>
  <si>
    <t>F9</t>
  </si>
  <si>
    <t>F10</t>
  </si>
  <si>
    <t>F11</t>
  </si>
  <si>
    <t>PROVA CALCOLATA</t>
  </si>
  <si>
    <t>TRIFASE</t>
  </si>
  <si>
    <t>MONO-R</t>
  </si>
  <si>
    <t>MONO-S</t>
  </si>
  <si>
    <t>MONO-T</t>
  </si>
  <si>
    <t>PROVA TRIF/MON</t>
  </si>
  <si>
    <t>TIPO DI SISTEMA</t>
  </si>
  <si>
    <t>4 FILI</t>
  </si>
  <si>
    <t>PROVA TRIF/MONO</t>
  </si>
  <si>
    <t>MONOFASE-R</t>
  </si>
  <si>
    <t>MONOFASE-S</t>
  </si>
  <si>
    <t>MONOFASE-T</t>
  </si>
  <si>
    <t>FASE-FASE</t>
  </si>
  <si>
    <t>FASE-NEUTRO</t>
  </si>
  <si>
    <t>F-F</t>
  </si>
  <si>
    <t>F-N</t>
  </si>
  <si>
    <t>TENSIONE</t>
  </si>
  <si>
    <t>F-F/F-N</t>
  </si>
  <si>
    <t>Tens F-F</t>
  </si>
  <si>
    <t>3 FILI</t>
  </si>
  <si>
    <t>RSTN</t>
  </si>
  <si>
    <t>RST</t>
  </si>
  <si>
    <t>NUMERO TA PRESENTI</t>
  </si>
  <si>
    <t>NUMERO TV PRESENTI</t>
  </si>
  <si>
    <t>ERRORI CON 3TA/3TV</t>
  </si>
  <si>
    <t>ERRORI CON 2TA/2TV</t>
  </si>
  <si>
    <t>MISURA N. F1</t>
  </si>
  <si>
    <t>MISURA N. F2</t>
  </si>
  <si>
    <t>MISURA N. F3</t>
  </si>
  <si>
    <t>MISURA N. F4</t>
  </si>
  <si>
    <t>MISURA N. F5</t>
  </si>
  <si>
    <t>MISURA N. F6</t>
  </si>
  <si>
    <t>MISURA N. F7</t>
  </si>
  <si>
    <t>MISURA N. F8</t>
  </si>
  <si>
    <t>MISURA N. F9</t>
  </si>
  <si>
    <t>MISURA N. F10</t>
  </si>
  <si>
    <t>MISURA N. F11</t>
  </si>
  <si>
    <t>TENSIONE NOMINALE SECONDARIO</t>
  </si>
  <si>
    <t>TENSIONE NOMINALE PRIMARIO</t>
  </si>
  <si>
    <t>CORRENTE NOMINALE PRIMARIO</t>
  </si>
  <si>
    <t>CORRENTE NOMINALE SECONDARIO</t>
  </si>
  <si>
    <r>
      <t>I</t>
    </r>
    <r>
      <rPr>
        <vertAlign val="subscript"/>
        <sz val="11"/>
        <color theme="1"/>
        <rFont val="Calibri"/>
        <family val="2"/>
        <scheme val="minor"/>
      </rPr>
      <t>MIN</t>
    </r>
    <r>
      <rPr>
        <sz val="11"/>
        <color theme="1"/>
        <rFont val="Calibri"/>
        <family val="2"/>
        <scheme val="minor"/>
      </rPr>
      <t>&lt;=I&lt;0,1*I</t>
    </r>
    <r>
      <rPr>
        <vertAlign val="subscript"/>
        <sz val="11"/>
        <color theme="1"/>
        <rFont val="Calibri"/>
        <family val="2"/>
        <scheme val="minor"/>
      </rPr>
      <t>N</t>
    </r>
    <r>
      <rPr>
        <sz val="11"/>
        <color theme="1"/>
        <rFont val="Calibri"/>
        <family val="2"/>
        <scheme val="minor"/>
      </rPr>
      <t xml:space="preserve"> ? (info solo per trif 0,2S)</t>
    </r>
  </si>
  <si>
    <t>CLASSE PRECISIONE TA</t>
  </si>
  <si>
    <r>
      <t>η_</t>
    </r>
    <r>
      <rPr>
        <vertAlign val="subscript"/>
        <sz val="10"/>
        <rFont val="Arial"/>
        <family val="2"/>
      </rPr>
      <t>MAX</t>
    </r>
  </si>
  <si>
    <r>
      <t>ε_</t>
    </r>
    <r>
      <rPr>
        <vertAlign val="subscript"/>
        <sz val="10"/>
        <rFont val="Arial"/>
        <family val="2"/>
      </rPr>
      <t>MAX</t>
    </r>
  </si>
  <si>
    <t>CLASSE PRECISIONE TV</t>
  </si>
  <si>
    <t>TRASFORMATORE VOLTMETRICO</t>
  </si>
  <si>
    <t>INTERV_TV</t>
  </si>
  <si>
    <t>effettiva</t>
  </si>
  <si>
    <t>di calcolo</t>
  </si>
  <si>
    <t>TRASFORMATORE AMPEROMETRICO</t>
  </si>
  <si>
    <t>% CARICO TA</t>
  </si>
  <si>
    <t>% CARICO TV</t>
  </si>
  <si>
    <t>Intervalli T</t>
  </si>
  <si>
    <t>CLASSE CONTATORE</t>
  </si>
  <si>
    <t>TEMPERATURA DI RIFERIMENTO</t>
  </si>
  <si>
    <t>CARICO TRIF/MONO</t>
  </si>
  <si>
    <t>TRIF</t>
  </si>
  <si>
    <t>MONO</t>
  </si>
  <si>
    <t>MPE CONTATORE</t>
  </si>
  <si>
    <t>rif_colonna</t>
  </si>
  <si>
    <t>SISTEMA MISURA</t>
  </si>
  <si>
    <r>
      <t>I</t>
    </r>
    <r>
      <rPr>
        <vertAlign val="subscript"/>
        <sz val="11"/>
        <color theme="1"/>
        <rFont val="Calibri"/>
        <family val="2"/>
        <scheme val="minor"/>
      </rPr>
      <t>N-SIST</t>
    </r>
  </si>
  <si>
    <r>
      <t>I</t>
    </r>
    <r>
      <rPr>
        <vertAlign val="subscript"/>
        <sz val="11"/>
        <color theme="1"/>
        <rFont val="Calibri"/>
        <family val="2"/>
        <scheme val="minor"/>
      </rPr>
      <t>N-CONT</t>
    </r>
  </si>
  <si>
    <r>
      <t>I</t>
    </r>
    <r>
      <rPr>
        <vertAlign val="subscript"/>
        <sz val="11"/>
        <color theme="1"/>
        <rFont val="Calibri"/>
        <family val="2"/>
        <scheme val="minor"/>
      </rPr>
      <t>MIN</t>
    </r>
    <r>
      <rPr>
        <sz val="11"/>
        <color theme="1"/>
        <rFont val="Calibri"/>
        <family val="2"/>
        <scheme val="minor"/>
      </rPr>
      <t>&lt;=I&lt;I</t>
    </r>
    <r>
      <rPr>
        <vertAlign val="subscript"/>
        <sz val="11"/>
        <color theme="1"/>
        <rFont val="Calibri"/>
        <family val="2"/>
        <scheme val="minor"/>
      </rPr>
      <t>TR</t>
    </r>
    <r>
      <rPr>
        <sz val="11"/>
        <color theme="1"/>
        <rFont val="Calibri"/>
        <family val="2"/>
        <scheme val="minor"/>
      </rPr>
      <t xml:space="preserve"> ? (info solo per trif. cl. A,B o C)</t>
    </r>
  </si>
  <si>
    <t>CL</t>
  </si>
  <si>
    <t>RAPP.</t>
  </si>
  <si>
    <t>PR. NOM</t>
  </si>
  <si>
    <t>PR_T1</t>
  </si>
  <si>
    <t>PR_T2</t>
  </si>
  <si>
    <t>PR_T3</t>
  </si>
  <si>
    <t>TA-1</t>
  </si>
  <si>
    <t>TA-2</t>
  </si>
  <si>
    <t>TA-3</t>
  </si>
  <si>
    <t>TRASFORMATORI MISURA</t>
  </si>
  <si>
    <r>
      <t>η_</t>
    </r>
    <r>
      <rPr>
        <vertAlign val="subscript"/>
        <sz val="10"/>
        <rFont val="Arial"/>
        <family val="2"/>
      </rPr>
      <t>TA (%)</t>
    </r>
  </si>
  <si>
    <r>
      <t>ε_</t>
    </r>
    <r>
      <rPr>
        <vertAlign val="subscript"/>
        <sz val="10"/>
        <rFont val="Arial"/>
        <family val="2"/>
      </rPr>
      <t>TA (crad)</t>
    </r>
  </si>
  <si>
    <r>
      <t>η_</t>
    </r>
    <r>
      <rPr>
        <vertAlign val="subscript"/>
        <sz val="10"/>
        <rFont val="Arial"/>
        <family val="2"/>
      </rPr>
      <t>TV (%)</t>
    </r>
  </si>
  <si>
    <r>
      <t>ε_</t>
    </r>
    <r>
      <rPr>
        <vertAlign val="subscript"/>
        <sz val="10"/>
        <rFont val="Arial"/>
        <family val="2"/>
      </rPr>
      <t>TV (crad)</t>
    </r>
  </si>
  <si>
    <t>TV-1</t>
  </si>
  <si>
    <t>TV-2</t>
  </si>
  <si>
    <t>TV-3</t>
  </si>
  <si>
    <t>PROVE A CARICO REALE</t>
  </si>
  <si>
    <t>CARICO FITTIZIO</t>
  </si>
  <si>
    <t>NUM.</t>
  </si>
  <si>
    <t>CLASSE</t>
  </si>
  <si>
    <t>MATRICOLA CONTATORE</t>
  </si>
  <si>
    <t>COMPILAZ.</t>
  </si>
  <si>
    <t>η_TA1</t>
  </si>
  <si>
    <t>ε_TA1</t>
  </si>
  <si>
    <t>SEZIONE PROVE CARICO REALE</t>
  </si>
  <si>
    <t>Consumo pot. att. circ. voltmetrico - p</t>
  </si>
  <si>
    <t>Consumo pot. reatt. circ. voltmetrico - q</t>
  </si>
  <si>
    <t>I-da secondari TV a armadio smistamento</t>
  </si>
  <si>
    <t>II-da armadio smistamento a morsettiera in armadio misure</t>
  </si>
  <si>
    <t>III-da morsettiera in armadio misure a morsetti contatore</t>
  </si>
  <si>
    <t>IV-eventuali alim aux esterna per disp in armadio misure</t>
  </si>
  <si>
    <t>Sez cavo</t>
  </si>
  <si>
    <t>SEZIONE CONNESSIONI VOLTMETRICHE</t>
  </si>
  <si>
    <t>-</t>
  </si>
  <si>
    <t>EXP</t>
  </si>
  <si>
    <t>SFASAMENTO EFFETTIVO V/I</t>
  </si>
  <si>
    <t>SFASAMENTO PER CALCOLO MPE_TA/TV</t>
  </si>
  <si>
    <t>SFASAMENTO LIMITE INDUTTIVO PER CALCOLO MPE_TA/TV</t>
  </si>
  <si>
    <t>cos_fi_lim_L</t>
  </si>
  <si>
    <t>SFASAMENTO LIMITE CAPACITIVO PER CALCOLO MPE_TA/TV</t>
  </si>
  <si>
    <t>cos_fi_lim_C</t>
  </si>
  <si>
    <t>ELENCO AGGIORNAMENTI INTRODOTTI</t>
  </si>
  <si>
    <t>ORIGINALE</t>
  </si>
  <si>
    <t>Denominazione Laboratorio</t>
  </si>
  <si>
    <t>Estremi autorizzazione</t>
  </si>
  <si>
    <t>RAPPORTO DI VERIFICA FISCALE IN CAMPO</t>
  </si>
  <si>
    <t>N°</t>
  </si>
  <si>
    <t>del</t>
  </si>
  <si>
    <t>valido sino a</t>
  </si>
  <si>
    <t>Orario inizio operazioni:</t>
  </si>
  <si>
    <t>DATI SPECIFICI ESERCENTE ED IMPIANTO:</t>
  </si>
  <si>
    <t>Codice accisa:</t>
  </si>
  <si>
    <t>Esercente officina:</t>
  </si>
  <si>
    <t>Ubicazione impianto:</t>
  </si>
  <si>
    <t>Indirizzo sede legale:</t>
  </si>
  <si>
    <t>Luogo della Verifica:</t>
  </si>
  <si>
    <t>Servizio / Posizione:</t>
  </si>
  <si>
    <t>Tipo di Verifica:</t>
  </si>
  <si>
    <t>Connessione:</t>
  </si>
  <si>
    <t>Cod. Fiscale</t>
  </si>
  <si>
    <t>Tensione imp.</t>
  </si>
  <si>
    <t>COMPOSIZIONE DEL SISTEMA DI MISURA SOTTOPOSTO A VERIFICA</t>
  </si>
  <si>
    <t>Marca:</t>
  </si>
  <si>
    <t>Matricola:</t>
  </si>
  <si>
    <t>Modello:</t>
  </si>
  <si>
    <t>MID:</t>
  </si>
  <si>
    <t>Classe attiva:</t>
  </si>
  <si>
    <t>Tipo inserzione:</t>
  </si>
  <si>
    <t>Frequenza:</t>
  </si>
  <si>
    <t>L'integratore ha:</t>
  </si>
  <si>
    <t>Tensione:</t>
  </si>
  <si>
    <t>Corrente:</t>
  </si>
  <si>
    <t>K contatore:</t>
  </si>
  <si>
    <t>interi e</t>
  </si>
  <si>
    <t>decimali</t>
  </si>
  <si>
    <t>Costante di lettura dell'intero gruppo di misura k=</t>
  </si>
  <si>
    <t>Contatore di energia attiva</t>
  </si>
  <si>
    <t>Trasformatori amperometrici
(TA)</t>
  </si>
  <si>
    <t>Trasformatori voltmetrici
(TV)</t>
  </si>
  <si>
    <t>Rapporto:</t>
  </si>
  <si>
    <t>Classe:</t>
  </si>
  <si>
    <t>Prest. (VA)</t>
  </si>
  <si>
    <t>N° Matr.</t>
  </si>
  <si>
    <t>Operazione</t>
  </si>
  <si>
    <t>Eseguita</t>
  </si>
  <si>
    <t>Esito</t>
  </si>
  <si>
    <t>NOTA</t>
  </si>
  <si>
    <t>Verifica della corretta inserzione e del corretto funzionamento</t>
  </si>
  <si>
    <t>Controllo del coefficiente di conversione nominale complessivo del sistema (K)</t>
  </si>
  <si>
    <t>Controllo della corretta integrazione del numeratore</t>
  </si>
  <si>
    <t>TARATURA A CARICO REALE</t>
  </si>
  <si>
    <t>Certificato di taratura LAT             numero:</t>
  </si>
  <si>
    <t>modello:</t>
  </si>
  <si>
    <t>del:</t>
  </si>
  <si>
    <t>n° di serie:</t>
  </si>
  <si>
    <t>emesso da:</t>
  </si>
  <si>
    <t>Contatore campione utilizzato      marca:</t>
  </si>
  <si>
    <t>Valore Registri</t>
  </si>
  <si>
    <t>Totalizzatore</t>
  </si>
  <si>
    <t>Totalizzatori fasce</t>
  </si>
  <si>
    <t>Tipo di registro:</t>
  </si>
  <si>
    <t>Lettura iniziale:</t>
  </si>
  <si>
    <t>Lettura finale:</t>
  </si>
  <si>
    <t>Eseguita su:</t>
  </si>
  <si>
    <t>Contatore di energia</t>
  </si>
  <si>
    <t>Sistema di misura</t>
  </si>
  <si>
    <t>ERRORI DEL SISTEMA DI MISURA</t>
  </si>
  <si>
    <t>Tensione di misura</t>
  </si>
  <si>
    <t>R:</t>
  </si>
  <si>
    <t>S:</t>
  </si>
  <si>
    <t>T:</t>
  </si>
  <si>
    <t>L'errore globale è stato</t>
  </si>
  <si>
    <t>CARICO REALE</t>
  </si>
  <si>
    <t>ERRORE (%)</t>
  </si>
  <si>
    <t>ERRORE GLOBALE (%)</t>
  </si>
  <si>
    <t>LIMITE</t>
  </si>
  <si>
    <t>ora inizio verifica:</t>
  </si>
  <si>
    <t>ora fine verifica:</t>
  </si>
  <si>
    <t>n°</t>
  </si>
  <si>
    <t>In %</t>
  </si>
  <si>
    <t>fdp</t>
  </si>
  <si>
    <t>kW</t>
  </si>
  <si>
    <t>A+</t>
  </si>
  <si>
    <t>A-</t>
  </si>
  <si>
    <t>errore %</t>
  </si>
  <si>
    <t>Fornita da:</t>
  </si>
  <si>
    <t>fasi</t>
  </si>
  <si>
    <t>SUGGELLI RISCONTRATI E MOVIMENTATI</t>
  </si>
  <si>
    <t>Suggelli</t>
  </si>
  <si>
    <t>Appl. - Pres. - Rimossi</t>
  </si>
  <si>
    <t>Posizionamento e/o Descrizione</t>
  </si>
  <si>
    <t>Orario fine operazioni:</t>
  </si>
  <si>
    <t>Nome del Tecnico Verificatore:</t>
  </si>
  <si>
    <t>Il Responsabile del Centro</t>
  </si>
  <si>
    <t>TARATURA A CARICO FITTIZIO</t>
  </si>
  <si>
    <t>Cost. integr. del contatore</t>
  </si>
  <si>
    <t>Data verifica</t>
  </si>
  <si>
    <t>Orario inizio verifica</t>
  </si>
  <si>
    <t>Orario fine verifica</t>
  </si>
  <si>
    <t>Certificato mod. DOGANE 2016?</t>
  </si>
  <si>
    <t>Verifica straordinaria</t>
  </si>
  <si>
    <t>DATI CONTATORE</t>
  </si>
  <si>
    <t>Range Tensione:</t>
  </si>
  <si>
    <t>Range Corrente:</t>
  </si>
  <si>
    <t>ELENCO INSERZIONI</t>
  </si>
  <si>
    <t>giri/kWh</t>
  </si>
  <si>
    <t>giri/kVarh</t>
  </si>
  <si>
    <t>Cost. integr.</t>
  </si>
  <si>
    <t>Cost. gr di misura k=</t>
  </si>
  <si>
    <t>DATI TA</t>
  </si>
  <si>
    <t>Modello</t>
  </si>
  <si>
    <t>N° Matr. R</t>
  </si>
  <si>
    <t>N° Matr. S</t>
  </si>
  <si>
    <t>N° Matr. T</t>
  </si>
  <si>
    <t>VERIFICHE PRELIMINARI</t>
  </si>
  <si>
    <t>Verifica corretta inserzione e del corretto funzionamento</t>
  </si>
  <si>
    <t>Controllo coefficiente di conversione nominale complessivo del sistema (K)</t>
  </si>
  <si>
    <t>ELENCO ESEGUITA</t>
  </si>
  <si>
    <t>SI</t>
  </si>
  <si>
    <t>NO</t>
  </si>
  <si>
    <t>ELENCO ESITO</t>
  </si>
  <si>
    <t>Positivo</t>
  </si>
  <si>
    <t>Negativo</t>
  </si>
  <si>
    <t>Cod</t>
  </si>
  <si>
    <t>Marca</t>
  </si>
  <si>
    <t>Matricola</t>
  </si>
  <si>
    <t>ZERA</t>
  </si>
  <si>
    <t>MT310</t>
  </si>
  <si>
    <t>Contat. campione utilizzato:</t>
  </si>
  <si>
    <t>CONTATORE CAMPIONE</t>
  </si>
  <si>
    <t>LETTURE REGISTRI  TARATURA CARICO REALE</t>
  </si>
  <si>
    <t>ELENCO CONTATORI CAMPIONE</t>
  </si>
  <si>
    <t>ELENCO REGISTRI</t>
  </si>
  <si>
    <t>1.8.0</t>
  </si>
  <si>
    <t>2.8.0</t>
  </si>
  <si>
    <t>A1+</t>
  </si>
  <si>
    <t>A2+</t>
  </si>
  <si>
    <t>A3+</t>
  </si>
  <si>
    <t>A1-</t>
  </si>
  <si>
    <t>A2-</t>
  </si>
  <si>
    <t>A3-</t>
  </si>
  <si>
    <t>TOTALIZZ.</t>
  </si>
  <si>
    <t>TIPO DI MISURA DELL'ERRORE A CARICO REALE</t>
  </si>
  <si>
    <t>TIPO DI MISURA DELL'ERRORE A CARICO FITTIZIO</t>
  </si>
  <si>
    <t>LETTURE REGISTRI  TARATURA CARICO FITTIZIO</t>
  </si>
  <si>
    <t>TENSIONI MEDIA CARICO REALE</t>
  </si>
  <si>
    <t>TENSIONE DI PROVA FORNITA DA</t>
  </si>
  <si>
    <t>Rete</t>
  </si>
  <si>
    <t>Generatore</t>
  </si>
  <si>
    <t>%In</t>
  </si>
  <si>
    <t>CORR NOM. SEC.</t>
  </si>
  <si>
    <t>CORR NOM. RIFERIMENTO (PRIM. O SEC.) PER CARICO REALE</t>
  </si>
  <si>
    <t>CORR NOM. RIFERIMENTO (PRIM. O SEC.) PER CARICO FITTIZIO</t>
  </si>
  <si>
    <t>Tecnico Verificatore</t>
  </si>
  <si>
    <t>ELENCO TECNICI</t>
  </si>
  <si>
    <t>Responsabile Laboratorio</t>
  </si>
  <si>
    <t>ELENCO RESPONSABILI CENTRO</t>
  </si>
  <si>
    <t>Medaglia Mauro</t>
  </si>
  <si>
    <t>Pozzi Cristiano</t>
  </si>
  <si>
    <t>Stellari Stefano</t>
  </si>
  <si>
    <t>Titoldini Michele</t>
  </si>
  <si>
    <t>P.ATT.(KW)</t>
  </si>
  <si>
    <t>Potenza</t>
  </si>
  <si>
    <t>A+/A-</t>
  </si>
  <si>
    <t>ELENCO POTENZA ATTIVA</t>
  </si>
  <si>
    <t>POTENZA ATTIVA PRELEVATA</t>
  </si>
  <si>
    <t>POTENZA ATTIVA CEDUTA</t>
  </si>
  <si>
    <t>SEZIONE PROVE CARICO FITTIZIO-A</t>
  </si>
  <si>
    <t>SEZIONE PROVE CARICO FITTIZIO-B</t>
  </si>
  <si>
    <t>MISURA N. F12</t>
  </si>
  <si>
    <t>MISURA N. F13</t>
  </si>
  <si>
    <t>MISURA N. F14</t>
  </si>
  <si>
    <t>MISURA N. F15</t>
  </si>
  <si>
    <t>MISURA N. F16</t>
  </si>
  <si>
    <t>MISURA N. F17</t>
  </si>
  <si>
    <t>MISURA N. F18</t>
  </si>
  <si>
    <t>MISURA N. F19</t>
  </si>
  <si>
    <t>MISURA N. F20</t>
  </si>
  <si>
    <t>MISURA N. F21</t>
  </si>
  <si>
    <t>MISURA N. F22</t>
  </si>
  <si>
    <t>F12</t>
  </si>
  <si>
    <t>F13</t>
  </si>
  <si>
    <t>F14</t>
  </si>
  <si>
    <t>F15</t>
  </si>
  <si>
    <t>F16</t>
  </si>
  <si>
    <t>F17</t>
  </si>
  <si>
    <t>F18</t>
  </si>
  <si>
    <t>F19</t>
  </si>
  <si>
    <t>F20</t>
  </si>
  <si>
    <t>F21</t>
  </si>
  <si>
    <t>F22</t>
  </si>
  <si>
    <t>ELENCO MISURA TENSIONI</t>
  </si>
  <si>
    <t>CIFRE SIGNIFICATIVE SU ERRORE CERT DOGANE</t>
  </si>
  <si>
    <t>DATI TV</t>
  </si>
  <si>
    <t>R6</t>
  </si>
  <si>
    <t>REALE-MISURA6</t>
  </si>
  <si>
    <t>MISURA N.6</t>
  </si>
  <si>
    <t>SEZIONE DATI TRASF. AMPEROMETRICI</t>
  </si>
  <si>
    <t>SEZIONE DATI TRASF. VOLTMETRICI</t>
  </si>
  <si>
    <t>N.</t>
  </si>
  <si>
    <t>Movim.</t>
  </si>
  <si>
    <t>MOVIMENTAZIONE SUGGELLI</t>
  </si>
  <si>
    <t>ELENCO MOVIMENTAZIONE SUGGELLI</t>
  </si>
  <si>
    <t>Rimosso</t>
  </si>
  <si>
    <t>Applicato</t>
  </si>
  <si>
    <t>Presente</t>
  </si>
  <si>
    <t>NOTE</t>
  </si>
  <si>
    <t>MAGGIORAZIONE MPE PER CERTIF. DOGANE (CIRC 23/D)</t>
  </si>
  <si>
    <t>ENERGHIA S.r.l.</t>
  </si>
  <si>
    <t>Direzione regionale per la Lombardia – AGT
Prot. 46515 del 29/09/2005</t>
  </si>
  <si>
    <r>
      <t>I</t>
    </r>
    <r>
      <rPr>
        <vertAlign val="subscript"/>
        <sz val="11"/>
        <color theme="1"/>
        <rFont val="Calibri"/>
        <family val="2"/>
        <scheme val="minor"/>
      </rPr>
      <t>N-SIST-REALE</t>
    </r>
  </si>
  <si>
    <r>
      <t>I</t>
    </r>
    <r>
      <rPr>
        <vertAlign val="subscript"/>
        <sz val="11"/>
        <color theme="1"/>
        <rFont val="Calibri"/>
        <family val="2"/>
        <scheme val="minor"/>
      </rPr>
      <t>N-SIST-FITTIZIO</t>
    </r>
  </si>
  <si>
    <t>3F 4W</t>
  </si>
  <si>
    <t>ELENCO TIPOLOGIA</t>
  </si>
  <si>
    <t>STATICO</t>
  </si>
  <si>
    <t>INDUZIONE</t>
  </si>
  <si>
    <t>3F 3W</t>
  </si>
  <si>
    <t>1F (F-F)</t>
  </si>
  <si>
    <t>1F (F-N)</t>
  </si>
  <si>
    <t>3.8.0</t>
  </si>
  <si>
    <t>5.8.0</t>
  </si>
  <si>
    <t>6.8.0</t>
  </si>
  <si>
    <t>7.8.0</t>
  </si>
  <si>
    <t>8.8.0</t>
  </si>
  <si>
    <t>kWh</t>
  </si>
  <si>
    <t>IMP</t>
  </si>
  <si>
    <r>
      <t>T</t>
    </r>
    <r>
      <rPr>
        <vertAlign val="subscript"/>
        <sz val="11"/>
        <color theme="1"/>
        <rFont val="Calibri"/>
        <family val="2"/>
        <scheme val="minor"/>
      </rPr>
      <t>1</t>
    </r>
    <r>
      <rPr>
        <sz val="11"/>
        <color theme="1"/>
        <rFont val="Calibri"/>
        <family val="2"/>
      </rPr>
      <t>→</t>
    </r>
  </si>
  <si>
    <r>
      <t>T</t>
    </r>
    <r>
      <rPr>
        <vertAlign val="subscript"/>
        <sz val="11"/>
        <color theme="1"/>
        <rFont val="Calibri"/>
        <family val="2"/>
        <scheme val="minor"/>
      </rPr>
      <t>1</t>
    </r>
    <r>
      <rPr>
        <sz val="11"/>
        <color theme="1"/>
        <rFont val="Calibri"/>
        <family val="2"/>
      </rPr>
      <t>←</t>
    </r>
  </si>
  <si>
    <r>
      <t>T</t>
    </r>
    <r>
      <rPr>
        <vertAlign val="subscript"/>
        <sz val="11"/>
        <color theme="1"/>
        <rFont val="Calibri"/>
        <family val="2"/>
        <scheme val="minor"/>
      </rPr>
      <t>1 in</t>
    </r>
  </si>
  <si>
    <r>
      <t>T</t>
    </r>
    <r>
      <rPr>
        <vertAlign val="subscript"/>
        <sz val="11"/>
        <color theme="1"/>
        <rFont val="Calibri"/>
        <family val="2"/>
        <scheme val="minor"/>
      </rPr>
      <t>1 out</t>
    </r>
  </si>
  <si>
    <r>
      <t>A</t>
    </r>
    <r>
      <rPr>
        <vertAlign val="subscript"/>
        <sz val="11"/>
        <color theme="1"/>
        <rFont val="Calibri"/>
        <family val="2"/>
        <scheme val="minor"/>
      </rPr>
      <t>tot+</t>
    </r>
  </si>
  <si>
    <r>
      <t>A</t>
    </r>
    <r>
      <rPr>
        <vertAlign val="subscript"/>
        <sz val="11"/>
        <color theme="1"/>
        <rFont val="Calibri"/>
        <family val="2"/>
        <scheme val="minor"/>
      </rPr>
      <t>tot-</t>
    </r>
  </si>
  <si>
    <t>TENSIONE NOM. SECONDARIO (TXT)</t>
  </si>
  <si>
    <t>TENSIONE NOM. PRIMARIO (TXT)</t>
  </si>
  <si>
    <t>ELENCO TXT PER TV</t>
  </si>
  <si>
    <r>
      <t>:</t>
    </r>
    <r>
      <rPr>
        <sz val="11"/>
        <color theme="1"/>
        <rFont val="Arial"/>
        <family val="2"/>
      </rPr>
      <t>√</t>
    </r>
    <r>
      <rPr>
        <sz val="11"/>
        <color theme="1"/>
        <rFont val="Calibri"/>
        <family val="2"/>
      </rPr>
      <t>3</t>
    </r>
  </si>
  <si>
    <t>ELENCO CONNESSIONI</t>
  </si>
  <si>
    <t>Connessione alla rete:</t>
  </si>
  <si>
    <t>Altissima Tensione (superiore 150 kV)</t>
  </si>
  <si>
    <t>Valut. Sommaria</t>
  </si>
  <si>
    <t>Valut compl</t>
  </si>
  <si>
    <t>CONNESSIONE AMPEROMETRICA N.1</t>
  </si>
  <si>
    <t>Corrente circolante nel circ amperometrico</t>
  </si>
  <si>
    <t>Caduta di tensione sul circ amperometrico</t>
  </si>
  <si>
    <t>Corrente nominale secondario del TA</t>
  </si>
  <si>
    <t>Prestazione TA-1</t>
  </si>
  <si>
    <t>SEZIONE DETERMINAZIONE PRESTAZIONI TA</t>
  </si>
  <si>
    <t>Resistenza complessiva andata/ritorno</t>
  </si>
  <si>
    <t>CONNESSIONE AMPEROMETRICA N.2</t>
  </si>
  <si>
    <t>Tratto-1</t>
  </si>
  <si>
    <t>Tratto-2</t>
  </si>
  <si>
    <t>Tratto-3</t>
  </si>
  <si>
    <t>Tratto-4</t>
  </si>
  <si>
    <t>Prestazione TA-2</t>
  </si>
  <si>
    <t>Prestazione TA-3</t>
  </si>
  <si>
    <t>CONNESSIONE AMPEROMETRICA N.3</t>
  </si>
  <si>
    <t>Prestazioni TA misurate?</t>
  </si>
  <si>
    <t>Prestazioni TA da certif. Precedenti?</t>
  </si>
  <si>
    <t>Prest-TA1</t>
  </si>
  <si>
    <t>Prest-TA2</t>
  </si>
  <si>
    <t>Prest-TA3</t>
  </si>
  <si>
    <t>SEZIONE DETERMINAZIONE PRESTAZIONI TV</t>
  </si>
  <si>
    <t>Prestazioni TV misurate?</t>
  </si>
  <si>
    <t>Prestazioni TV da certif. Precedenti?</t>
  </si>
  <si>
    <t>Prest-TV1</t>
  </si>
  <si>
    <t>Prest-TV2</t>
  </si>
  <si>
    <t>Prest-TV3</t>
  </si>
  <si>
    <t>Corrente circolante nel circ voltmetrico</t>
  </si>
  <si>
    <t>Tensione sul circ voltmetrico</t>
  </si>
  <si>
    <t>Tensione nominale secondario del TV</t>
  </si>
  <si>
    <t>Prestazione TV-1</t>
  </si>
  <si>
    <t>Prestazione TV-3</t>
  </si>
  <si>
    <t>Prestazione TV-2</t>
  </si>
  <si>
    <t>Valut Mis. Res.</t>
  </si>
  <si>
    <t>lungh singolo tratto</t>
  </si>
  <si>
    <t>Elenco complessivo lista cavi tra TV e contatore</t>
  </si>
  <si>
    <t>Lista cavi tra TV e punto di misura della prestazione</t>
  </si>
  <si>
    <t>Lista cavi tra TA e punto di misura della prestazione</t>
  </si>
  <si>
    <t>Corrente circolante nel TV</t>
  </si>
  <si>
    <t>(R*I/Vnom TV) &lt; 1/10 MPE_sistema?</t>
  </si>
  <si>
    <t>Aggiornato secondo circolare dogane 18/D.Modifiche: Se cos_fi&lt;0,8C o cos_fi&lt;0,5L il calcolo MPE del sistema deve essere fatto non al cos_fi effettivo ma a a 0,8C o 0,5L. Tale modifica interessa di fatto solo MPE_TA/TV in quanto MPE_contatore non dipende da cos_fi.
Aggiornate prove secondo circolare (es 6 carico reale) e con prove a carico fittizio nei due versi.
Introdotto calcolo automatico prestazioni e connessioni.
Introdotta compilazione automatica certificato ad uso Dogane.</t>
  </si>
  <si>
    <t xml:space="preserve"> </t>
  </si>
  <si>
    <t>APPLIED PRECISION</t>
  </si>
  <si>
    <t>WS2320A</t>
  </si>
  <si>
    <t>050015486</t>
  </si>
  <si>
    <t>HONGKONG SINOTIE</t>
  </si>
  <si>
    <t>SNT 3901</t>
  </si>
  <si>
    <t>SNT1406002</t>
  </si>
  <si>
    <t>N. certificato / Laboratorio</t>
  </si>
  <si>
    <t>Data misure</t>
  </si>
  <si>
    <t>PREST MIS.</t>
  </si>
  <si>
    <t>DATI PER PRESTAZ</t>
  </si>
  <si>
    <t>CONNESS. VOLTM</t>
  </si>
  <si>
    <t>Ass. p/q</t>
  </si>
  <si>
    <t>VERIFICA INSERZ DATI</t>
  </si>
  <si>
    <t>Verifica globale corretta inserzione dati</t>
  </si>
  <si>
    <t>Scadenza certificato</t>
  </si>
  <si>
    <t>CC.03.00</t>
  </si>
  <si>
    <t>CC.02.00</t>
  </si>
  <si>
    <t>CC.00.00</t>
  </si>
  <si>
    <t>CC.05.00</t>
  </si>
  <si>
    <t>Marca /Modello/Matricola</t>
  </si>
  <si>
    <t>INTERV_TA</t>
  </si>
  <si>
    <t>valori inseriti solo a fini delle ricerche</t>
  </si>
  <si>
    <t>rif:</t>
  </si>
  <si>
    <t>CEI EN 50470-3 PUNTO 8.4 TAB 8</t>
  </si>
  <si>
    <t>CEI EN 61869-2 PTO 5.6.201.3 TAB 201 E TAB 202</t>
  </si>
  <si>
    <t>CEI EN 61869-3 PTO 5.6.301.3 TAB 301</t>
  </si>
  <si>
    <t>A1-/A2-/A3-</t>
  </si>
  <si>
    <t>impulsi/kWh</t>
  </si>
  <si>
    <t>impulsi/kVarh</t>
  </si>
  <si>
    <t>I controlli e le prove effettuati sull'impianto sono stati condotti in conformità alle indicazioni di cui all'Allegato 2 della circolare della Agenzia delle Dogane e dei Monopoli  n. 23/D del 29 dicembre 2015 (Prot. 145251 R.U./DCAFC 6°)</t>
  </si>
  <si>
    <t>A1+/A2+/A3+</t>
  </si>
  <si>
    <t>RISULTATI-PROVE CARICO REALE</t>
  </si>
  <si>
    <t>RISULTATI-PROVE CARICO FITTIZIO</t>
  </si>
  <si>
    <t>COD. LETTURA</t>
  </si>
  <si>
    <t>CARICO</t>
  </si>
  <si>
    <t>CORRENTE</t>
  </si>
  <si>
    <t>FASI</t>
  </si>
  <si>
    <t>ERR_MIS_FDP1</t>
  </si>
  <si>
    <t>FDP1</t>
  </si>
  <si>
    <t>FDP0,5L</t>
  </si>
  <si>
    <t>L1-L2-L3</t>
  </si>
  <si>
    <t>L1</t>
  </si>
  <si>
    <t>L2</t>
  </si>
  <si>
    <t>L3</t>
  </si>
  <si>
    <t>VERIFICA POTENZA ATTIVA-SEZIONE INSERIMENTO DATI</t>
  </si>
  <si>
    <t>CIFRE SIGNIFICATIVE SU %In CERT DOGANE</t>
  </si>
  <si>
    <t>CIFRE SIGNIFICATIVE SU fdp CERT DOGANE</t>
  </si>
  <si>
    <t>CIFRE SIGNIFICATIVE SU kW CERT DOGANE</t>
  </si>
  <si>
    <t>Aggiorntati gli arrotondamenti a cifre fisse di tutti i dati del certificato dogane. Inserito in foglio controllo dati anche la potenza.Aggiornato piè pagina per spazio firma</t>
  </si>
  <si>
    <t>CLASSE DI PRECISIONE DI RIF. PER ERRORE</t>
  </si>
  <si>
    <t>1 FILO</t>
  </si>
  <si>
    <t>R</t>
  </si>
  <si>
    <t>TIPOLOGIA CONTATORE</t>
  </si>
  <si>
    <t>ERRORI CON 1TA/1TV</t>
  </si>
  <si>
    <t>MWh</t>
  </si>
  <si>
    <t>(CONTATORE TRIFASE: RST 100%-FDP=1; CONTATORE MONOFASE: L 100%-FDP=1 )</t>
  </si>
  <si>
    <t>(CONTATORE TRIFASE: RST 20%-FDP=0,5; CONTATORE MONOFASE: L 20%-FDP=0,5 )</t>
  </si>
  <si>
    <t>(CONTATORE TRIFASE: RST 20%-FDP=1; CONTATORE MONOFASE: L 20%-FDP=1 )</t>
  </si>
  <si>
    <t>(CONTATORE TRIFASE: RST 5%-FDP=0,5; CONTATORE MONOFASE: L 5%-FDP=0,5 )</t>
  </si>
  <si>
    <t>(CONTATORE TRIFASE: RST 5%-FDP=1; CONTATORE MONOFASE: L 5%-FDP=1 )</t>
  </si>
  <si>
    <t>(CONTATORE TRIFASE: RST 100%-FDP=0,5; CONTATORE MONOFASE: L 100%-FDP=0,5 )</t>
  </si>
  <si>
    <t>(CONTATORE TRIFASE: RST 120%-FDP=0,5; CONTATORE MONOFASE: L 120%-FDP=0,5 )</t>
  </si>
  <si>
    <t>(CONTATORE TRIFASE: RST 120%-FDP=1; CONTATORE MONOFASE: L 120%-FDP=1 )</t>
  </si>
  <si>
    <t>(CONTATORE TRIFASE: R 100%-FDP=1; CONTATORE MONOFASE: NON ESEGUITA )</t>
  </si>
  <si>
    <t>(CONTATORE TRIFASE: S 100%-FDP=1 (non Aron); CONTATORE MONOFASE: NON ESEGUITA )</t>
  </si>
  <si>
    <t>(CONTATORE TRIFASE: T 100%-FDP=1; CONTATORE MONOFASE: NON ESEGUITA )</t>
  </si>
  <si>
    <t>Aggiornato fogli per contatori monofase. Modello revisionato (da 1 a 2)</t>
  </si>
  <si>
    <t>Giudizio_prova FITTIZIO</t>
  </si>
  <si>
    <t>Giudizio_prova REALE</t>
  </si>
  <si>
    <t>TIPOLOGIA PROVA</t>
  </si>
  <si>
    <t>RQ</t>
  </si>
  <si>
    <t>Aggiornata modalità di compilazione certificato dogane. A carico reale eliminato valutazione analitica errore globale, in accordo con punto 7.4 CEI 13/71. Lasciato solo per fittizio</t>
  </si>
  <si>
    <t>rif. CEI-UNEL 35752:2014-05 e CEI EN 60228 tab 3</t>
  </si>
  <si>
    <t>Data redaz. certif.</t>
  </si>
  <si>
    <t>DATA REDAZ CERT</t>
  </si>
  <si>
    <t>Tot. A+</t>
  </si>
  <si>
    <t>Tot. A-</t>
  </si>
  <si>
    <t>REV. 4: Modificato certificato dogane con logo energhia senza logo AME</t>
  </si>
  <si>
    <t>resistenza singolo tratto</t>
  </si>
  <si>
    <t>Verifica errore contatore-sistema di misura in campo. Energia attiva</t>
  </si>
  <si>
    <t>REV. 5: Modificato per invio accredia+inserito nuovo certificato dogane con esito negativo</t>
  </si>
  <si>
    <t>RAPPORTO DI VERIFICA FISCALE IN CAMPO CON ESITO NEGATIVO</t>
  </si>
  <si>
    <t>Ora inizio operazioni:</t>
  </si>
  <si>
    <t>Ora fine operazioni:</t>
  </si>
  <si>
    <t>NOTE PER RAPPORTO DI VERIFICA FISCALE CON ESITO NEGATIVO</t>
  </si>
  <si>
    <t>Nota:</t>
  </si>
  <si>
    <t>Ispezione con esito negativo?</t>
  </si>
  <si>
    <t>Energhia s.r.l.</t>
  </si>
  <si>
    <t>MODULO</t>
  </si>
  <si>
    <t>ENE-Mod-504-02-01</t>
  </si>
  <si>
    <t>Titolo: Rapporto di ispezione in campo contatore/sistema di misura di energia attiva/reattiva in regime alternato monofase o trifase.</t>
  </si>
  <si>
    <t>Data / Ora:</t>
  </si>
  <si>
    <t>Verifica ispettiva riferita alla:</t>
  </si>
  <si>
    <t>Nominativo Operatore:</t>
  </si>
  <si>
    <t>Verifica ispettiva rispondente a:</t>
  </si>
  <si>
    <t>Destinatario oggetto di verifica:</t>
  </si>
  <si>
    <t>Ragione sociale:</t>
  </si>
  <si>
    <t>Indirizzo sede impianto:</t>
  </si>
  <si>
    <t>Codice fiscale:</t>
  </si>
  <si>
    <t>Codice ditta:</t>
  </si>
  <si>
    <t>Tipologia impianto:</t>
  </si>
  <si>
    <t>Denominazione sistema di misura:</t>
  </si>
  <si>
    <t>Potenza nominale complessiva impianto (kW):</t>
  </si>
  <si>
    <t>Livelli di tensione impianto (V):</t>
  </si>
  <si>
    <t>Potenza nominale da misurare (kW):</t>
  </si>
  <si>
    <t xml:space="preserve">Tens. nom. primaria da mis.(V): </t>
  </si>
  <si>
    <t xml:space="preserve">Corr. max primaria da mis.(A): </t>
  </si>
  <si>
    <t>Persona di riferimento / Tecnico elettrico:</t>
  </si>
  <si>
    <t>Automezzo:</t>
  </si>
  <si>
    <r>
      <t>o</t>
    </r>
    <r>
      <rPr>
        <b/>
        <sz val="8"/>
        <rFont val="Arial"/>
        <family val="2"/>
      </rPr>
      <t xml:space="preserve"> DATI CONTATORE</t>
    </r>
  </si>
  <si>
    <t>Tipologia contatore:</t>
  </si>
  <si>
    <t>MONOFASE</t>
  </si>
  <si>
    <t>BIFASE</t>
  </si>
  <si>
    <t>TRIFASE (ARON)</t>
  </si>
  <si>
    <t>Tipologia misura:</t>
  </si>
  <si>
    <t>ELETTRODINAMICO</t>
  </si>
  <si>
    <t>Certificazione MID:</t>
  </si>
  <si>
    <t>Range Temperatura (°C):</t>
  </si>
  <si>
    <t>1kWh =( giri / impulsi ):</t>
  </si>
  <si>
    <t>Range Tensione nominale (V):</t>
  </si>
  <si>
    <t>Totalizz.Interi/Decimali:</t>
  </si>
  <si>
    <t>Range Corrente nominale (A):</t>
  </si>
  <si>
    <t>Tensione nominale dall'impianto al contat. (V):</t>
  </si>
  <si>
    <t>Frequenza nominale (Hz):</t>
  </si>
  <si>
    <t>Classe ATT / REATT.:</t>
  </si>
  <si>
    <t>Costante lettura interno:</t>
  </si>
  <si>
    <t>Data/Ora impostate correttamente:</t>
  </si>
  <si>
    <t>Data: SI</t>
  </si>
  <si>
    <t>Data: NO</t>
  </si>
  <si>
    <t>Ora: SI</t>
  </si>
  <si>
    <t>Ora: NO</t>
  </si>
  <si>
    <t>Data/Ora reimpostate da Energhia:</t>
  </si>
  <si>
    <t>Origine dati targa contatore:</t>
  </si>
  <si>
    <t>Letti:</t>
  </si>
  <si>
    <t>Eventuale docum. di origine dati:</t>
  </si>
  <si>
    <t>Note:</t>
  </si>
  <si>
    <r>
      <t>o</t>
    </r>
    <r>
      <rPr>
        <b/>
        <sz val="8"/>
        <rFont val="Arial"/>
        <family val="2"/>
      </rPr>
      <t xml:space="preserve"> DATI TRASFORMATORI DI MISURA</t>
    </r>
  </si>
  <si>
    <t>DATI</t>
  </si>
  <si>
    <t>ALTRI COMPONENTI</t>
  </si>
  <si>
    <t>Prestazione VA:</t>
  </si>
  <si>
    <t>Matricola N.1 :</t>
  </si>
  <si>
    <t>N. certificato laboratorio:</t>
  </si>
  <si>
    <t>Emesso da:</t>
  </si>
  <si>
    <t>Emesso il:</t>
  </si>
  <si>
    <t>Matricola N.2 :</t>
  </si>
  <si>
    <t>Matricola N.3 :</t>
  </si>
  <si>
    <t>Eventuale docum. origine dati TA:</t>
  </si>
  <si>
    <t>Eventuale docum. origine dati TV:</t>
  </si>
  <si>
    <r>
      <t>o</t>
    </r>
    <r>
      <rPr>
        <b/>
        <sz val="8"/>
        <rFont val="Arial"/>
        <family val="2"/>
      </rPr>
      <t xml:space="preserve"> DATI SISTEMA DI MISURA</t>
    </r>
  </si>
  <si>
    <t>Tipologia inserzione:</t>
  </si>
  <si>
    <t>TRIFASE (3W)</t>
  </si>
  <si>
    <t>TRIFASE (4W)</t>
  </si>
  <si>
    <t>Tipo di Inserzione:</t>
  </si>
  <si>
    <t>DIRETTA</t>
  </si>
  <si>
    <t>SEMIDIRETTA</t>
  </si>
  <si>
    <t>INDIRETTA</t>
  </si>
  <si>
    <t>Tipologia di utilizzo:</t>
  </si>
  <si>
    <t>UNIDIREZ.</t>
  </si>
  <si>
    <t>BIDIREZ.</t>
  </si>
  <si>
    <t>PRIMA</t>
  </si>
  <si>
    <t>PERIODICA</t>
  </si>
  <si>
    <t>STRAORDINARIA</t>
  </si>
  <si>
    <t>Corrente nominale sistema (A):</t>
  </si>
  <si>
    <t>Luogo di installazione contatore</t>
  </si>
  <si>
    <t>Luogo di installazione TA/TV</t>
  </si>
  <si>
    <t>Idonea installazione in altezza del contatore: (h&lt;3,5m)</t>
  </si>
  <si>
    <t>Leggibilità display: (accesso frontale a 0,5 m in condizioni di sicurezza)</t>
  </si>
  <si>
    <r>
      <t>o</t>
    </r>
    <r>
      <rPr>
        <b/>
        <sz val="8"/>
        <rFont val="Arial"/>
        <family val="2"/>
      </rPr>
      <t xml:space="preserve"> STRUMENTAZIONE CAMPIONE/APPARECCHIATURE UTILIZZATE/CONDIZIONI TERMOIGROMETRICHE</t>
    </r>
  </si>
  <si>
    <t>Termoigrom.:</t>
  </si>
  <si>
    <t>Temp. (°C):</t>
  </si>
  <si>
    <t>Umidità Rel.:</t>
  </si>
  <si>
    <r>
      <t xml:space="preserve">o </t>
    </r>
    <r>
      <rPr>
        <b/>
        <sz val="8"/>
        <rFont val="Arial"/>
        <family val="2"/>
      </rPr>
      <t>RACCOLTA DOCUMENTAZIONE</t>
    </r>
  </si>
  <si>
    <t>Schema unifilare/multifilare dell'impianto:</t>
  </si>
  <si>
    <t>NON NECESS.</t>
  </si>
  <si>
    <t>DISPONIBILE</t>
  </si>
  <si>
    <t>NON DISPON.</t>
  </si>
  <si>
    <t>Elenco componenti (contatore/TA-TV/zavorre):</t>
  </si>
  <si>
    <t>Schema di inserzione del sistema di misura:</t>
  </si>
  <si>
    <r>
      <t>o</t>
    </r>
    <r>
      <rPr>
        <b/>
        <sz val="8"/>
        <rFont val="Arial"/>
        <family val="2"/>
      </rPr>
      <t xml:space="preserve"> VERIFICHE SUGLI ELEMENTI IMPIANTISTICI AFFERENTI AL SISTEMA DI MISURA</t>
    </r>
  </si>
  <si>
    <t>Lettura:</t>
  </si>
  <si>
    <r>
      <t>o</t>
    </r>
    <r>
      <rPr>
        <i/>
        <sz val="8"/>
        <rFont val="Arial"/>
        <family val="2"/>
      </rPr>
      <t xml:space="preserve"> Accessibilità componenti in sicurezza:</t>
    </r>
  </si>
  <si>
    <r>
      <t>o</t>
    </r>
    <r>
      <rPr>
        <i/>
        <sz val="8"/>
        <rFont val="Arial"/>
        <family val="2"/>
      </rPr>
      <t xml:space="preserve"> Presenza morsettiera di prova:</t>
    </r>
  </si>
  <si>
    <r>
      <t>o</t>
    </r>
    <r>
      <rPr>
        <i/>
        <sz val="8"/>
        <rFont val="Arial"/>
        <family val="2"/>
      </rPr>
      <t xml:space="preserve"> Rilievo dati targa contat. / TA-TV / altri comp.:</t>
    </r>
  </si>
  <si>
    <r>
      <t>o</t>
    </r>
    <r>
      <rPr>
        <i/>
        <sz val="8"/>
        <rFont val="Arial"/>
        <family val="2"/>
      </rPr>
      <t xml:space="preserve"> Presenza ulteriori morsettiere di appoggio:</t>
    </r>
  </si>
  <si>
    <r>
      <t>o</t>
    </r>
    <r>
      <rPr>
        <i/>
        <sz val="8"/>
        <rFont val="Arial"/>
        <family val="2"/>
      </rPr>
      <t xml:space="preserve"> Corrispondenza documentaz./circuito reale:</t>
    </r>
  </si>
  <si>
    <r>
      <t>o</t>
    </r>
    <r>
      <rPr>
        <i/>
        <sz val="8"/>
        <rFont val="Arial"/>
        <family val="2"/>
      </rPr>
      <t xml:space="preserve"> Controllo visivo integrità componenti:</t>
    </r>
  </si>
  <si>
    <r>
      <t>o</t>
    </r>
    <r>
      <rPr>
        <i/>
        <sz val="8"/>
        <rFont val="Arial"/>
        <family val="2"/>
      </rPr>
      <t xml:space="preserve"> Presenza di suggelli di verifiche precedenti:</t>
    </r>
  </si>
  <si>
    <r>
      <t>o</t>
    </r>
    <r>
      <rPr>
        <i/>
        <sz val="8"/>
        <rFont val="Arial"/>
        <family val="2"/>
      </rPr>
      <t xml:space="preserve"> Controllo serraggio morsetti contat/morsettiere:</t>
    </r>
  </si>
  <si>
    <r>
      <t>o</t>
    </r>
    <r>
      <rPr>
        <i/>
        <sz val="8"/>
        <rFont val="Arial"/>
        <family val="2"/>
      </rPr>
      <t xml:space="preserve"> Inserzione DIRETTA:</t>
    </r>
  </si>
  <si>
    <r>
      <t>o</t>
    </r>
    <r>
      <rPr>
        <i/>
        <sz val="8"/>
        <rFont val="Arial"/>
        <family val="2"/>
      </rPr>
      <t xml:space="preserve"> Inserzione SEMIDIRETTA/INDIRETTA:</t>
    </r>
  </si>
  <si>
    <t xml:space="preserve"> -Corrente massima contatore &gt; corrente massima impianto:</t>
  </si>
  <si>
    <r>
      <t xml:space="preserve"> -Corrente massima contatore </t>
    </r>
    <r>
      <rPr>
        <sz val="8"/>
        <rFont val="Calibri"/>
        <family val="2"/>
      </rPr>
      <t>≥</t>
    </r>
    <r>
      <rPr>
        <sz val="8"/>
        <rFont val="Arial"/>
        <family val="2"/>
      </rPr>
      <t xml:space="preserve"> corrente massima impianto/K</t>
    </r>
    <r>
      <rPr>
        <vertAlign val="subscript"/>
        <sz val="8"/>
        <rFont val="Arial"/>
        <family val="2"/>
      </rPr>
      <t>TA</t>
    </r>
    <r>
      <rPr>
        <sz val="8"/>
        <rFont val="Arial"/>
        <family val="2"/>
      </rPr>
      <t>:</t>
    </r>
  </si>
  <si>
    <r>
      <t xml:space="preserve"> -Corrente nominale contatore </t>
    </r>
    <r>
      <rPr>
        <sz val="8"/>
        <rFont val="Calibri"/>
        <family val="2"/>
      </rPr>
      <t>&lt;</t>
    </r>
    <r>
      <rPr>
        <sz val="8"/>
        <rFont val="Arial"/>
        <family val="2"/>
      </rPr>
      <t xml:space="preserve"> corrente massima impianto:</t>
    </r>
  </si>
  <si>
    <r>
      <t xml:space="preserve"> -Corrente nominale contatore </t>
    </r>
    <r>
      <rPr>
        <sz val="8"/>
        <rFont val="Calibri"/>
        <family val="2"/>
      </rPr>
      <t>≤</t>
    </r>
    <r>
      <rPr>
        <sz val="8"/>
        <rFont val="Arial"/>
        <family val="2"/>
      </rPr>
      <t xml:space="preserve"> corrente nominale TA:</t>
    </r>
  </si>
  <si>
    <t xml:space="preserve"> -Tensione nom. impianto NEL RANGE tensione nom. contatore:</t>
  </si>
  <si>
    <t xml:space="preserve"> -Tensione nom. impianto COMPRESA 80%..120% tensione nom. TV:</t>
  </si>
  <si>
    <r>
      <t xml:space="preserve"> -Corrente min. contatore </t>
    </r>
    <r>
      <rPr>
        <sz val="8"/>
        <rFont val="Calibri"/>
        <family val="2"/>
      </rPr>
      <t>≤</t>
    </r>
    <r>
      <rPr>
        <sz val="8"/>
        <rFont val="Arial"/>
        <family val="2"/>
      </rPr>
      <t xml:space="preserve"> corrente minima TA (5% o 1% I nom TA):</t>
    </r>
  </si>
  <si>
    <r>
      <t>o</t>
    </r>
    <r>
      <rPr>
        <b/>
        <sz val="8"/>
        <rFont val="Arial"/>
        <family val="2"/>
      </rPr>
      <t xml:space="preserve"> CONTROLLO INSERZIONE DEL SISTEMA DI MISURA</t>
    </r>
  </si>
  <si>
    <r>
      <t>o</t>
    </r>
    <r>
      <rPr>
        <i/>
        <sz val="8"/>
        <rFont val="Arial"/>
        <family val="2"/>
      </rPr>
      <t xml:space="preserve"> Verifica riferita alla corrente nominale del sistema di misura:</t>
    </r>
  </si>
  <si>
    <t>≥ 5%</t>
  </si>
  <si>
    <t>≤ 5%</t>
  </si>
  <si>
    <t>&gt; Imin CONT</t>
  </si>
  <si>
    <t>&lt; Imin CONT</t>
  </si>
  <si>
    <r>
      <t>o</t>
    </r>
    <r>
      <rPr>
        <i/>
        <sz val="8"/>
        <rFont val="Arial"/>
        <family val="2"/>
      </rPr>
      <t xml:space="preserve"> Modalità inserzione contatore campione:</t>
    </r>
  </si>
  <si>
    <t>Prim. (pinze)</t>
  </si>
  <si>
    <t>Prim. (diretto)</t>
  </si>
  <si>
    <t>Sec. (pinze)</t>
  </si>
  <si>
    <t>Sec. (diretto)</t>
  </si>
  <si>
    <t>Ang I1/V1:</t>
  </si>
  <si>
    <t>Ang I2/V2:</t>
  </si>
  <si>
    <t>Ang I3/V3:</t>
  </si>
  <si>
    <r>
      <t>o</t>
    </r>
    <r>
      <rPr>
        <i/>
        <sz val="8"/>
        <rFont val="Arial"/>
        <family val="2"/>
      </rPr>
      <t xml:space="preserve"> Confronto potenza campione con altri sist. monitoraggio:</t>
    </r>
  </si>
  <si>
    <t>Pot. Sist.monit./Pot. Cont.Camp.</t>
  </si>
  <si>
    <t>POSITIVO</t>
  </si>
  <si>
    <t>NEGATIVO</t>
  </si>
  <si>
    <t>NON ESEGUIB.</t>
  </si>
  <si>
    <r>
      <t>o</t>
    </r>
    <r>
      <rPr>
        <i/>
        <sz val="8"/>
        <rFont val="Arial"/>
        <family val="2"/>
      </rPr>
      <t xml:space="preserve"> Morsettiera collegata correttamente monte/valle:</t>
    </r>
  </si>
  <si>
    <r>
      <t>o</t>
    </r>
    <r>
      <rPr>
        <i/>
        <sz val="8"/>
        <rFont val="Arial"/>
        <family val="2"/>
      </rPr>
      <t xml:space="preserve"> Rilievo senso ciclico delle fasi:</t>
    </r>
  </si>
  <si>
    <t>ORARIO (corretto)</t>
  </si>
  <si>
    <t>ANTIORARIO (errato)</t>
  </si>
  <si>
    <r>
      <t xml:space="preserve"> </t>
    </r>
    <r>
      <rPr>
        <b/>
        <sz val="8"/>
        <rFont val="Wingdings"/>
        <charset val="2"/>
      </rPr>
      <t>o</t>
    </r>
    <r>
      <rPr>
        <b/>
        <i/>
        <sz val="8"/>
        <rFont val="Arial"/>
        <family val="2"/>
      </rPr>
      <t xml:space="preserve"> Esito corretta inserzione contatore campione su sistema di misura:</t>
    </r>
  </si>
  <si>
    <r>
      <t>o</t>
    </r>
    <r>
      <rPr>
        <i/>
        <sz val="8"/>
        <rFont val="Arial"/>
        <family val="2"/>
      </rPr>
      <t xml:space="preserve"> Rilievo valori istantanei parametri elettrici:</t>
    </r>
  </si>
  <si>
    <t>V1</t>
  </si>
  <si>
    <t>V2</t>
  </si>
  <si>
    <t>V3</t>
  </si>
  <si>
    <t>Freq. Misurata</t>
  </si>
  <si>
    <t>Valore</t>
  </si>
  <si>
    <t>Pot. (W)</t>
  </si>
  <si>
    <t>Dist.Arm.THD%:</t>
  </si>
  <si>
    <r>
      <t>cos</t>
    </r>
    <r>
      <rPr>
        <sz val="8"/>
        <rFont val="Calibri"/>
        <family val="2"/>
      </rPr>
      <t>ϕ</t>
    </r>
    <r>
      <rPr>
        <i/>
        <sz val="8"/>
        <rFont val="Arial"/>
        <family val="2"/>
      </rPr>
      <t xml:space="preserve"> o sen</t>
    </r>
    <r>
      <rPr>
        <sz val="8"/>
        <rFont val="Calibri"/>
        <family val="2"/>
      </rPr>
      <t>ϕ</t>
    </r>
  </si>
  <si>
    <r>
      <t>o</t>
    </r>
    <r>
      <rPr>
        <i/>
        <sz val="8"/>
        <rFont val="Arial"/>
        <family val="2"/>
      </rPr>
      <t xml:space="preserve"> Verifica preliminare dell'errore del sistema di misura:</t>
    </r>
  </si>
  <si>
    <t>Errore misura %</t>
  </si>
  <si>
    <r>
      <t xml:space="preserve"> </t>
    </r>
    <r>
      <rPr>
        <b/>
        <sz val="8"/>
        <rFont val="Wingdings"/>
        <charset val="2"/>
      </rPr>
      <t>o</t>
    </r>
    <r>
      <rPr>
        <b/>
        <i/>
        <sz val="8"/>
        <rFont val="Arial"/>
        <family val="2"/>
      </rPr>
      <t xml:space="preserve"> Esito della verifica di corretta inserzione sistema di misura:</t>
    </r>
  </si>
  <si>
    <r>
      <t>o</t>
    </r>
    <r>
      <rPr>
        <i/>
        <sz val="8"/>
        <rFont val="Arial"/>
        <family val="2"/>
      </rPr>
      <t xml:space="preserve"> Sistema ricablato per errato cablaggio (fattibile solo in Prima Verif.)?:</t>
    </r>
  </si>
  <si>
    <r>
      <t>o</t>
    </r>
    <r>
      <rPr>
        <i/>
        <sz val="8"/>
        <rFont val="Arial"/>
        <family val="2"/>
      </rPr>
      <t xml:space="preserve"> Rilievo immagini fotografiche di inserzione contatore campione:</t>
    </r>
  </si>
  <si>
    <t>Motivazione errato cablaggio:</t>
  </si>
  <si>
    <r>
      <t>o</t>
    </r>
    <r>
      <rPr>
        <i/>
        <sz val="8"/>
        <rFont val="Arial"/>
        <family val="2"/>
      </rPr>
      <t xml:space="preserve"> Posizione installaz. contatore:</t>
    </r>
  </si>
  <si>
    <t>VERTICALE (x cont. Induz)</t>
  </si>
  <si>
    <t>ININFLUENTE (x cont. Statici)</t>
  </si>
  <si>
    <r>
      <t>o</t>
    </r>
    <r>
      <rPr>
        <i/>
        <sz val="8"/>
        <rFont val="Arial"/>
        <family val="2"/>
      </rPr>
      <t xml:space="preserve"> THD tensioni inferiore 10%?:</t>
    </r>
  </si>
  <si>
    <r>
      <t>o</t>
    </r>
    <r>
      <rPr>
        <i/>
        <sz val="8"/>
        <rFont val="Arial"/>
        <family val="2"/>
      </rPr>
      <t xml:space="preserve"> Temperatura ambiente idonea con il range del contatore:</t>
    </r>
  </si>
  <si>
    <r>
      <t>o</t>
    </r>
    <r>
      <rPr>
        <i/>
        <sz val="8"/>
        <rFont val="Arial"/>
        <family val="2"/>
      </rPr>
      <t xml:space="preserve"> THD correnti inferiore 40%?:</t>
    </r>
  </si>
  <si>
    <r>
      <t>o</t>
    </r>
    <r>
      <rPr>
        <i/>
        <sz val="8"/>
        <rFont val="Arial"/>
        <family val="2"/>
      </rPr>
      <t xml:space="preserve"> Tensioni impianto nei range contatore (con tolleranza +-10%):</t>
    </r>
  </si>
  <si>
    <r>
      <t>o</t>
    </r>
    <r>
      <rPr>
        <i/>
        <sz val="8"/>
        <rFont val="Arial"/>
        <family val="2"/>
      </rPr>
      <t xml:space="preserve"> cos</t>
    </r>
    <r>
      <rPr>
        <sz val="8"/>
        <rFont val="Calibri"/>
        <family val="2"/>
      </rPr>
      <t>ϕ</t>
    </r>
    <r>
      <rPr>
        <i/>
        <sz val="8"/>
        <rFont val="Arial"/>
        <family val="2"/>
      </rPr>
      <t xml:space="preserve"> &gt;0,5 (attiva) oppure sen</t>
    </r>
    <r>
      <rPr>
        <sz val="8"/>
        <rFont val="Calibri"/>
        <family val="2"/>
      </rPr>
      <t>ϕ</t>
    </r>
    <r>
      <rPr>
        <i/>
        <sz val="8"/>
        <rFont val="Arial"/>
        <family val="2"/>
      </rPr>
      <t>&gt;0,5 (reattiva):</t>
    </r>
  </si>
  <si>
    <r>
      <t>o</t>
    </r>
    <r>
      <rPr>
        <i/>
        <sz val="8"/>
        <rFont val="Arial"/>
        <family val="2"/>
      </rPr>
      <t xml:space="preserve"> Frequenza nell'intervallo +/- 2% della freq. Nominale (50 Hz):</t>
    </r>
  </si>
  <si>
    <r>
      <t>o</t>
    </r>
    <r>
      <rPr>
        <i/>
        <sz val="8"/>
        <rFont val="Arial"/>
        <family val="2"/>
      </rPr>
      <t xml:space="preserve"> Necessità di emissione certificato Dogane con Esito Negativo?:</t>
    </r>
  </si>
  <si>
    <r>
      <t>o</t>
    </r>
    <r>
      <rPr>
        <b/>
        <sz val="8"/>
        <rFont val="Arial"/>
        <family val="2"/>
      </rPr>
      <t xml:space="preserve"> LISTA CAVI DI CONNESSIONE TA/TV AL CONTATORE (Se necessaria al fine della determinazione delle prestazioni dei TA/TV e resistenza connessioni TV)</t>
    </r>
  </si>
  <si>
    <t>Lista cavi stimata o da altra documentazione</t>
  </si>
  <si>
    <t>TA1</t>
  </si>
  <si>
    <t>TA2</t>
  </si>
  <si>
    <t>TA3</t>
  </si>
  <si>
    <t>Descrizione Tratto</t>
  </si>
  <si>
    <t>Lungh. 1 (m)</t>
  </si>
  <si>
    <r>
      <t>Sez. 1 (mm</t>
    </r>
    <r>
      <rPr>
        <sz val="8"/>
        <rFont val="Arial"/>
        <family val="2"/>
      </rPr>
      <t>²</t>
    </r>
    <r>
      <rPr>
        <i/>
        <sz val="8"/>
        <rFont val="Arial"/>
        <family val="2"/>
      </rPr>
      <t>)</t>
    </r>
  </si>
  <si>
    <t>Lungh. 2 (m)</t>
  </si>
  <si>
    <r>
      <t>Sez. 2 (mm</t>
    </r>
    <r>
      <rPr>
        <sz val="8"/>
        <rFont val="Arial"/>
        <family val="2"/>
      </rPr>
      <t>²</t>
    </r>
    <r>
      <rPr>
        <i/>
        <sz val="8"/>
        <rFont val="Arial"/>
        <family val="2"/>
      </rPr>
      <t>)</t>
    </r>
  </si>
  <si>
    <t>Lungh. 3 (m)</t>
  </si>
  <si>
    <r>
      <t>Sez. 3 (mm</t>
    </r>
    <r>
      <rPr>
        <sz val="8"/>
        <rFont val="Arial"/>
        <family val="2"/>
      </rPr>
      <t>²</t>
    </r>
    <r>
      <rPr>
        <i/>
        <sz val="8"/>
        <rFont val="Arial"/>
        <family val="2"/>
      </rPr>
      <t>)</t>
    </r>
  </si>
  <si>
    <t>TV1</t>
  </si>
  <si>
    <t>TV2</t>
  </si>
  <si>
    <t>TV3</t>
  </si>
  <si>
    <t>Prova eseguita a carico:</t>
  </si>
  <si>
    <t>REALE</t>
  </si>
  <si>
    <t>FITTIZIO</t>
  </si>
  <si>
    <t>Punto di misura:</t>
  </si>
  <si>
    <t>Tens. misurata / Corrente TA1:</t>
  </si>
  <si>
    <t>Tens. misurata / Corrente TA2:</t>
  </si>
  <si>
    <t>Tens. misurata / Corrente TA3:</t>
  </si>
  <si>
    <t>Corr. misurata / Tensione TV1:</t>
  </si>
  <si>
    <t>Corr. misurata / Tensione TV2:</t>
  </si>
  <si>
    <t>Corr. misurata / Tensione TV3:</t>
  </si>
  <si>
    <r>
      <t>o</t>
    </r>
    <r>
      <rPr>
        <i/>
        <sz val="8"/>
        <rFont val="Arial"/>
        <family val="2"/>
      </rPr>
      <t xml:space="preserve"> Valutazione sommaria conness. TV trascurabili:</t>
    </r>
  </si>
  <si>
    <t>Lungh. L1 /L2</t>
  </si>
  <si>
    <t>Esito (conn. tascurabili?):</t>
  </si>
  <si>
    <r>
      <t>o</t>
    </r>
    <r>
      <rPr>
        <i/>
        <sz val="8"/>
        <rFont val="Arial"/>
        <family val="2"/>
      </rPr>
      <t xml:space="preserve"> Determinazione resistenza connessioni TV:</t>
    </r>
  </si>
  <si>
    <t>Resistenza Misurata:</t>
  </si>
  <si>
    <t>Resistenza calcolata analiticam.:</t>
  </si>
  <si>
    <t>Valori delle resistenze misurate:</t>
  </si>
  <si>
    <r>
      <t xml:space="preserve">Resist </t>
    </r>
    <r>
      <rPr>
        <i/>
        <vertAlign val="subscript"/>
        <sz val="8"/>
        <rFont val="Arial"/>
        <family val="2"/>
      </rPr>
      <t>TV1:</t>
    </r>
  </si>
  <si>
    <r>
      <t xml:space="preserve">Resist </t>
    </r>
    <r>
      <rPr>
        <i/>
        <vertAlign val="subscript"/>
        <sz val="8"/>
        <rFont val="Arial"/>
        <family val="2"/>
      </rPr>
      <t>TV2:</t>
    </r>
  </si>
  <si>
    <r>
      <t xml:space="preserve">Resist </t>
    </r>
    <r>
      <rPr>
        <i/>
        <vertAlign val="subscript"/>
        <sz val="8"/>
        <rFont val="Arial"/>
        <family val="2"/>
      </rPr>
      <t>TV3:</t>
    </r>
  </si>
  <si>
    <r>
      <t>o</t>
    </r>
    <r>
      <rPr>
        <b/>
        <sz val="8"/>
        <rFont val="Arial"/>
        <family val="2"/>
      </rPr>
      <t xml:space="preserve"> MISURE DI ERRORE A CARICO REALE</t>
    </r>
  </si>
  <si>
    <r>
      <t>o</t>
    </r>
    <r>
      <rPr>
        <sz val="8"/>
        <rFont val="Arial"/>
        <family val="2"/>
      </rPr>
      <t xml:space="preserve"> Tipologia energia misurata:</t>
    </r>
  </si>
  <si>
    <r>
      <t>o</t>
    </r>
    <r>
      <rPr>
        <sz val="8"/>
        <rFont val="Arial"/>
        <family val="2"/>
      </rPr>
      <t xml:space="preserve"> Tensione misurata:</t>
    </r>
  </si>
  <si>
    <r>
      <t>o</t>
    </r>
    <r>
      <rPr>
        <sz val="8"/>
        <rFont val="Arial"/>
        <family val="2"/>
      </rPr>
      <t xml:space="preserve"> Carico Variabile / Regolabile:</t>
    </r>
  </si>
  <si>
    <t>Registro di integrazione:</t>
  </si>
  <si>
    <t>T (sec) o Imp
 (1 o 4 min)</t>
  </si>
  <si>
    <t>Errore/Attiva%</t>
  </si>
  <si>
    <t>Pot. Reatt (W)</t>
  </si>
  <si>
    <t>Errore/Reattiva%</t>
  </si>
  <si>
    <t>Err non valido</t>
  </si>
  <si>
    <t>V1 - I1</t>
  </si>
  <si>
    <t>V2 - I2</t>
  </si>
  <si>
    <t>V3 - I3</t>
  </si>
  <si>
    <t>Necessità di prove a c. fittizio</t>
  </si>
  <si>
    <t>Motivazione:</t>
  </si>
  <si>
    <r>
      <t>o</t>
    </r>
    <r>
      <rPr>
        <b/>
        <sz val="8"/>
        <rFont val="Arial"/>
        <family val="2"/>
      </rPr>
      <t xml:space="preserve"> VERIFICA INTEGRAZIONE NUMERATORE</t>
    </r>
  </si>
  <si>
    <r>
      <t>o</t>
    </r>
    <r>
      <rPr>
        <b/>
        <sz val="8"/>
        <rFont val="Arial"/>
        <family val="2"/>
      </rPr>
      <t xml:space="preserve"> COMPLETAMENTO VERIFICA ISPETTIVA</t>
    </r>
  </si>
  <si>
    <r>
      <t>o</t>
    </r>
    <r>
      <rPr>
        <i/>
        <sz val="8"/>
        <rFont val="Arial"/>
        <family val="2"/>
      </rPr>
      <t xml:space="preserve"> Verifica cancelli amperometrici controcirc. TA aperti:</t>
    </r>
  </si>
  <si>
    <r>
      <t>o</t>
    </r>
    <r>
      <rPr>
        <i/>
        <sz val="8"/>
        <rFont val="Arial"/>
        <family val="2"/>
      </rPr>
      <t xml:space="preserve"> Presenza tensioni al contatore (su display/tester):</t>
    </r>
  </si>
  <si>
    <r>
      <t>o</t>
    </r>
    <r>
      <rPr>
        <i/>
        <sz val="8"/>
        <rFont val="Arial"/>
        <family val="2"/>
      </rPr>
      <t xml:space="preserve"> Verifica cancelli voltmetrici chiusi:</t>
    </r>
  </si>
  <si>
    <r>
      <t>o</t>
    </r>
    <r>
      <rPr>
        <i/>
        <sz val="8"/>
        <rFont val="Arial"/>
        <family val="2"/>
      </rPr>
      <t xml:space="preserve"> Indicazione verso corretto potenza misurata (su display contat.):</t>
    </r>
  </si>
  <si>
    <r>
      <t>o</t>
    </r>
    <r>
      <rPr>
        <i/>
        <sz val="8"/>
        <rFont val="Arial"/>
        <family val="2"/>
      </rPr>
      <t xml:space="preserve"> Verifica serraggio viti collegamenti amperometrici/voltmetrici:</t>
    </r>
  </si>
  <si>
    <r>
      <t>o</t>
    </r>
    <r>
      <rPr>
        <i/>
        <sz val="8"/>
        <rFont val="Arial"/>
        <family val="2"/>
      </rPr>
      <t xml:space="preserve"> Apposizione etichetta identificativa:</t>
    </r>
  </si>
  <si>
    <r>
      <t>o</t>
    </r>
    <r>
      <rPr>
        <b/>
        <sz val="8"/>
        <rFont val="Arial"/>
        <family val="2"/>
      </rPr>
      <t xml:space="preserve"> GESTIONE MOVIMENTAZIONE SUGGELLI:</t>
    </r>
  </si>
  <si>
    <t>IMPRONTE SUGGELLO</t>
  </si>
  <si>
    <t>POSIZIONAMENTO/DESCRIZIONE</t>
  </si>
  <si>
    <r>
      <t>o</t>
    </r>
    <r>
      <rPr>
        <i/>
        <sz val="8"/>
        <rFont val="Arial"/>
        <family val="2"/>
      </rPr>
      <t xml:space="preserve"> Rilievo immagini fotografiche suggelli apposti:</t>
    </r>
  </si>
  <si>
    <r>
      <t>o</t>
    </r>
    <r>
      <rPr>
        <i/>
        <sz val="8"/>
        <rFont val="Arial"/>
        <family val="2"/>
      </rPr>
      <t xml:space="preserve"> Predisposta comunicazione movimentaz. suggelli per dogane:</t>
    </r>
  </si>
  <si>
    <r>
      <t>o</t>
    </r>
    <r>
      <rPr>
        <i/>
        <sz val="8"/>
        <rFont val="Arial"/>
        <family val="2"/>
      </rPr>
      <t xml:space="preserve"> Sistema di misura verificato precedentemente da:</t>
    </r>
  </si>
  <si>
    <r>
      <t>o</t>
    </r>
    <r>
      <rPr>
        <b/>
        <sz val="8"/>
        <rFont val="Arial"/>
        <family val="2"/>
      </rPr>
      <t xml:space="preserve"> MISURE DI ERRORE A CARICO FITTIZIO (opzionale, se necessaria)</t>
    </r>
  </si>
  <si>
    <r>
      <t>o</t>
    </r>
    <r>
      <rPr>
        <sz val="8"/>
        <rFont val="Arial"/>
        <family val="2"/>
      </rPr>
      <t xml:space="preserve"> Tensione di prova fornita da:</t>
    </r>
  </si>
  <si>
    <r>
      <t>o</t>
    </r>
    <r>
      <rPr>
        <sz val="8"/>
        <rFont val="Arial"/>
        <family val="2"/>
      </rPr>
      <t xml:space="preserve"> Tensione di prova (V):</t>
    </r>
  </si>
  <si>
    <t>Corrente di rif. per misura errore c. fittizio:</t>
  </si>
  <si>
    <r>
      <t>cos</t>
    </r>
    <r>
      <rPr>
        <sz val="8"/>
        <rFont val="Calibri"/>
        <family val="2"/>
      </rPr>
      <t>ϕ</t>
    </r>
    <r>
      <rPr>
        <sz val="8"/>
        <rFont val="Arial"/>
        <family val="2"/>
      </rPr>
      <t xml:space="preserve"> (x attiva)
sen</t>
    </r>
    <r>
      <rPr>
        <sz val="8"/>
        <rFont val="Calibri"/>
        <family val="2"/>
      </rPr>
      <t>ϕ (x reattiva)</t>
    </r>
  </si>
  <si>
    <t>Registro:</t>
  </si>
  <si>
    <t>Carico</t>
  </si>
  <si>
    <t>Corrente (A)</t>
  </si>
  <si>
    <t>Errore_1 %</t>
  </si>
  <si>
    <t>Errore_2 %</t>
  </si>
  <si>
    <t>Errore_3 %</t>
  </si>
  <si>
    <t>0,5 L</t>
  </si>
  <si>
    <t>Firma Operatore addetto alla redazione certificato di ispezione (OPE):</t>
  </si>
  <si>
    <t>L'integratore ha interi/decimali:</t>
  </si>
  <si>
    <t>Origine dati TA:</t>
  </si>
  <si>
    <t>Origine dati TV:</t>
  </si>
  <si>
    <t>Ener/Pot ATTIVA</t>
  </si>
  <si>
    <t>Ener/Pot REATT</t>
  </si>
  <si>
    <t>Circ. Dogane
+ CEI 13-71</t>
  </si>
  <si>
    <t>Altro docum
cliente:</t>
  </si>
  <si>
    <t>DEVE ESSERE UN NUMERO</t>
  </si>
  <si>
    <r>
      <t>o</t>
    </r>
    <r>
      <rPr>
        <sz val="8"/>
        <rFont val="Arial"/>
        <family val="2"/>
      </rPr>
      <t xml:space="preserve"> Impianto fuori tensione:</t>
    </r>
  </si>
  <si>
    <t>TENSIONI MEDIA CARICO FITTIZIO</t>
  </si>
  <si>
    <t>Letture iniziali carico reale (Att/Reatt)</t>
  </si>
  <si>
    <t>Cod. integraz.:</t>
  </si>
  <si>
    <t>Letture Iniziali di Verifica (Att/Reatt)</t>
  </si>
  <si>
    <t>Letture Finali di Verifica (Att/Reatt)</t>
  </si>
  <si>
    <t>kWh/impulso</t>
  </si>
  <si>
    <t>kVarh/impulso</t>
  </si>
  <si>
    <t>Letture iniziali carico fittizio (Att/Reatt)</t>
  </si>
  <si>
    <t>Letture finali carico fittizio (Att/Reatt)</t>
  </si>
  <si>
    <t>MOVIMENTAZIONE
Appl Rim Pres</t>
  </si>
  <si>
    <t>NUMERO SUGGELLI</t>
  </si>
  <si>
    <t>SUGGELLI ADDIZIONALI PER RAPPORTO FISCALE CON ESITO NEGATIVO</t>
  </si>
  <si>
    <t>SUGGELLI ULTERIORI NON INSERIBILI IN CERTIFICATO FISCALE PER MANCANZA SPAZIO</t>
  </si>
  <si>
    <t>FIRMA OPERATORE-2</t>
  </si>
  <si>
    <t>FIRMA OPERATORE-3</t>
  </si>
  <si>
    <t>FIRMA OPERATORE-4</t>
  </si>
  <si>
    <t>FIRMA OPERATORE-5</t>
  </si>
  <si>
    <t>FIRMA OPERATORE-6</t>
  </si>
  <si>
    <t>FIRMA OPERATORE-7</t>
  </si>
  <si>
    <t>FIRMA OPERATORE-8</t>
  </si>
  <si>
    <t>FIRMA OPERATORE-9</t>
  </si>
  <si>
    <t>FIRMA OPERATORE-10</t>
  </si>
  <si>
    <t>Firma Operatore che ha condotto la verifica ispettiva (OPEE):</t>
  </si>
  <si>
    <r>
      <t>o</t>
    </r>
    <r>
      <rPr>
        <b/>
        <sz val="8"/>
        <rFont val="Arial"/>
        <family val="2"/>
      </rPr>
      <t xml:space="preserve"> IMMAGINI FOTOGRAFICHE/VIDEO EFFETTUATE:</t>
    </r>
  </si>
  <si>
    <t>Riferimento posizione salvataggio immagini fotografiche/video (a cura OPE):</t>
  </si>
  <si>
    <r>
      <t>o</t>
    </r>
    <r>
      <rPr>
        <b/>
        <sz val="8"/>
        <rFont val="Arial"/>
        <family val="2"/>
      </rPr>
      <t xml:space="preserve"> NOTE GENERALI:</t>
    </r>
  </si>
  <si>
    <r>
      <t>5% I</t>
    </r>
    <r>
      <rPr>
        <i/>
        <vertAlign val="subscript"/>
        <sz val="8"/>
        <rFont val="Arial"/>
        <family val="2"/>
      </rPr>
      <t xml:space="preserve">RIF </t>
    </r>
    <r>
      <rPr>
        <i/>
        <sz val="8"/>
        <rFont val="Arial"/>
        <family val="2"/>
      </rPr>
      <t>L</t>
    </r>
    <r>
      <rPr>
        <i/>
        <vertAlign val="subscript"/>
        <sz val="8"/>
        <rFont val="Arial"/>
        <family val="2"/>
      </rPr>
      <t>1</t>
    </r>
    <r>
      <rPr>
        <i/>
        <sz val="8"/>
        <rFont val="Arial"/>
        <family val="2"/>
      </rPr>
      <t>-L</t>
    </r>
    <r>
      <rPr>
        <i/>
        <vertAlign val="subscript"/>
        <sz val="8"/>
        <rFont val="Arial"/>
        <family val="2"/>
      </rPr>
      <t>2</t>
    </r>
    <r>
      <rPr>
        <i/>
        <sz val="8"/>
        <rFont val="Arial"/>
        <family val="2"/>
      </rPr>
      <t>-L</t>
    </r>
    <r>
      <rPr>
        <i/>
        <vertAlign val="subscript"/>
        <sz val="8"/>
        <rFont val="Arial"/>
        <family val="2"/>
      </rPr>
      <t>3</t>
    </r>
  </si>
  <si>
    <r>
      <t>20% I</t>
    </r>
    <r>
      <rPr>
        <i/>
        <vertAlign val="subscript"/>
        <sz val="8"/>
        <rFont val="Arial"/>
        <family val="2"/>
      </rPr>
      <t xml:space="preserve">RIF </t>
    </r>
    <r>
      <rPr>
        <i/>
        <sz val="8"/>
        <rFont val="Arial"/>
        <family val="2"/>
      </rPr>
      <t>L</t>
    </r>
    <r>
      <rPr>
        <i/>
        <vertAlign val="subscript"/>
        <sz val="8"/>
        <rFont val="Arial"/>
        <family val="2"/>
      </rPr>
      <t>1</t>
    </r>
    <r>
      <rPr>
        <i/>
        <sz val="8"/>
        <rFont val="Arial"/>
        <family val="2"/>
      </rPr>
      <t>-L</t>
    </r>
    <r>
      <rPr>
        <i/>
        <vertAlign val="subscript"/>
        <sz val="8"/>
        <rFont val="Arial"/>
        <family val="2"/>
      </rPr>
      <t>2</t>
    </r>
    <r>
      <rPr>
        <i/>
        <sz val="8"/>
        <rFont val="Arial"/>
        <family val="2"/>
      </rPr>
      <t>-L</t>
    </r>
    <r>
      <rPr>
        <i/>
        <vertAlign val="subscript"/>
        <sz val="8"/>
        <rFont val="Arial"/>
        <family val="2"/>
      </rPr>
      <t>3</t>
    </r>
  </si>
  <si>
    <r>
      <t>100% I</t>
    </r>
    <r>
      <rPr>
        <i/>
        <vertAlign val="subscript"/>
        <sz val="8"/>
        <rFont val="Arial"/>
        <family val="2"/>
      </rPr>
      <t xml:space="preserve">RIF </t>
    </r>
    <r>
      <rPr>
        <i/>
        <sz val="8"/>
        <rFont val="Arial"/>
        <family val="2"/>
      </rPr>
      <t>L</t>
    </r>
    <r>
      <rPr>
        <i/>
        <vertAlign val="subscript"/>
        <sz val="8"/>
        <rFont val="Arial"/>
        <family val="2"/>
      </rPr>
      <t>1</t>
    </r>
    <r>
      <rPr>
        <i/>
        <sz val="8"/>
        <rFont val="Arial"/>
        <family val="2"/>
      </rPr>
      <t>-L</t>
    </r>
    <r>
      <rPr>
        <i/>
        <vertAlign val="subscript"/>
        <sz val="8"/>
        <rFont val="Arial"/>
        <family val="2"/>
      </rPr>
      <t>2</t>
    </r>
    <r>
      <rPr>
        <i/>
        <sz val="8"/>
        <rFont val="Arial"/>
        <family val="2"/>
      </rPr>
      <t>-L</t>
    </r>
    <r>
      <rPr>
        <i/>
        <vertAlign val="subscript"/>
        <sz val="8"/>
        <rFont val="Arial"/>
        <family val="2"/>
      </rPr>
      <t>3</t>
    </r>
  </si>
  <si>
    <r>
      <t>120% I</t>
    </r>
    <r>
      <rPr>
        <i/>
        <vertAlign val="subscript"/>
        <sz val="8"/>
        <rFont val="Arial"/>
        <family val="2"/>
      </rPr>
      <t xml:space="preserve">RIF </t>
    </r>
    <r>
      <rPr>
        <i/>
        <sz val="8"/>
        <rFont val="Arial"/>
        <family val="2"/>
      </rPr>
      <t>L</t>
    </r>
    <r>
      <rPr>
        <i/>
        <vertAlign val="subscript"/>
        <sz val="8"/>
        <rFont val="Arial"/>
        <family val="2"/>
      </rPr>
      <t>1</t>
    </r>
    <r>
      <rPr>
        <i/>
        <sz val="8"/>
        <rFont val="Arial"/>
        <family val="2"/>
      </rPr>
      <t>-L</t>
    </r>
    <r>
      <rPr>
        <i/>
        <vertAlign val="subscript"/>
        <sz val="8"/>
        <rFont val="Arial"/>
        <family val="2"/>
      </rPr>
      <t>2</t>
    </r>
    <r>
      <rPr>
        <i/>
        <sz val="8"/>
        <rFont val="Arial"/>
        <family val="2"/>
      </rPr>
      <t>-L</t>
    </r>
    <r>
      <rPr>
        <i/>
        <vertAlign val="subscript"/>
        <sz val="8"/>
        <rFont val="Arial"/>
        <family val="2"/>
      </rPr>
      <t>3</t>
    </r>
  </si>
  <si>
    <r>
      <t>100% I</t>
    </r>
    <r>
      <rPr>
        <i/>
        <vertAlign val="subscript"/>
        <sz val="8"/>
        <rFont val="Arial"/>
        <family val="2"/>
      </rPr>
      <t xml:space="preserve">RIF </t>
    </r>
    <r>
      <rPr>
        <i/>
        <sz val="8"/>
        <rFont val="Arial"/>
        <family val="2"/>
      </rPr>
      <t>L</t>
    </r>
    <r>
      <rPr>
        <i/>
        <vertAlign val="subscript"/>
        <sz val="8"/>
        <rFont val="Arial"/>
        <family val="2"/>
      </rPr>
      <t>1</t>
    </r>
  </si>
  <si>
    <r>
      <t>100% I</t>
    </r>
    <r>
      <rPr>
        <i/>
        <vertAlign val="subscript"/>
        <sz val="8"/>
        <rFont val="Arial"/>
        <family val="2"/>
      </rPr>
      <t xml:space="preserve">RIF </t>
    </r>
    <r>
      <rPr>
        <i/>
        <sz val="8"/>
        <rFont val="Arial"/>
        <family val="2"/>
      </rPr>
      <t>L</t>
    </r>
    <r>
      <rPr>
        <i/>
        <vertAlign val="subscript"/>
        <sz val="8"/>
        <rFont val="Arial"/>
        <family val="2"/>
      </rPr>
      <t>2</t>
    </r>
  </si>
  <si>
    <r>
      <t>100% I</t>
    </r>
    <r>
      <rPr>
        <i/>
        <vertAlign val="subscript"/>
        <sz val="8"/>
        <rFont val="Arial"/>
        <family val="2"/>
      </rPr>
      <t xml:space="preserve">RIF </t>
    </r>
    <r>
      <rPr>
        <i/>
        <sz val="8"/>
        <rFont val="Arial"/>
        <family val="2"/>
      </rPr>
      <t>L</t>
    </r>
    <r>
      <rPr>
        <i/>
        <vertAlign val="subscript"/>
        <sz val="8"/>
        <rFont val="Arial"/>
        <family val="2"/>
      </rPr>
      <t>3</t>
    </r>
  </si>
  <si>
    <t>FIRMA ARQ PER CONVALIDA RICEVIMENTO RAPPORTO DI ISPEZIONE</t>
  </si>
  <si>
    <t>FIRMA OPE CHE HA PREDISPOSTO IL CERTIFICATO DI ISPEZIONE</t>
  </si>
  <si>
    <t>SPAZIO RISERVATO AGLI OPERATORI ESTERNI (OPEE)</t>
  </si>
  <si>
    <t>SEGNALAZIONE ERRORI/MANOMISSIONI</t>
  </si>
  <si>
    <t>FIRMA OPERATORE</t>
  </si>
  <si>
    <t>CONTROLLO: Compilazione codice di protezione da parte di OPEE</t>
  </si>
  <si>
    <t>CONTROLLO: Modifica rapporto di ispezione da parte OPEE dopo firma</t>
  </si>
  <si>
    <t>CONTROLLO: Cancellazione firma dell'operatore OPEE</t>
  </si>
  <si>
    <t>CONTROLLO: Cancellazione firma di ARQ</t>
  </si>
  <si>
    <t>CONTROLLO: Manomissione rapporto di ispezione dopo firma ARQ</t>
  </si>
  <si>
    <t>CONTROLLO: Manomissione rapporto di ispezione dopo firma OPE</t>
  </si>
  <si>
    <t>CONTROLLI MANOMISSIONE FILE</t>
  </si>
  <si>
    <t>SCHEDA FIRME E CONTROLLO DATI INSERITI</t>
  </si>
  <si>
    <t>Identificazione Pinze:</t>
  </si>
  <si>
    <t>Contatore campione:</t>
  </si>
  <si>
    <t>Errore misurato accettabile (&lt; 5%)?</t>
  </si>
  <si>
    <t>N. riferimento certificato
(a cura di OPE):</t>
  </si>
  <si>
    <t>N. Verifica (a cura di OPE):</t>
  </si>
  <si>
    <t>Perotti Silvia</t>
  </si>
  <si>
    <t>Mazzucchelli Roberto</t>
  </si>
  <si>
    <r>
      <t>o</t>
    </r>
    <r>
      <rPr>
        <b/>
        <sz val="8"/>
        <rFont val="Arial"/>
        <family val="2"/>
      </rPr>
      <t xml:space="preserve"> CHIUSURA ATTIVITA' DI VERIFICA:</t>
    </r>
  </si>
  <si>
    <t>Generatore fittizio:</t>
  </si>
  <si>
    <r>
      <t>I rif. contat (I</t>
    </r>
    <r>
      <rPr>
        <i/>
        <vertAlign val="subscript"/>
        <sz val="8"/>
        <rFont val="Arial"/>
        <family val="2"/>
      </rPr>
      <t>REF</t>
    </r>
    <r>
      <rPr>
        <i/>
        <sz val="8"/>
        <rFont val="Arial"/>
        <family val="2"/>
      </rPr>
      <t>):</t>
    </r>
  </si>
  <si>
    <r>
      <t>I rif TA (I</t>
    </r>
    <r>
      <rPr>
        <i/>
        <vertAlign val="subscript"/>
        <sz val="8"/>
        <rFont val="Arial"/>
        <family val="2"/>
      </rPr>
      <t>SR</t>
    </r>
    <r>
      <rPr>
        <i/>
        <sz val="8"/>
        <rFont val="Arial"/>
        <family val="2"/>
      </rPr>
      <t>):</t>
    </r>
  </si>
  <si>
    <t>ELENCO SEZIONI CAVI E IMPEDENZE</t>
  </si>
  <si>
    <t>Campi di compilazione OPE</t>
  </si>
  <si>
    <t>Campi da rapporto di ispezione</t>
  </si>
  <si>
    <t>Campi compilabili da OPE, di possibile correzione dei campi provenienti dal rapporto di ispezione (prioritari i campi azzurri rispetto ai campi gialli)</t>
  </si>
  <si>
    <t>Campi compilabili da OPE, recepiti solo se i campi provenienti dal rapporto di ispezione sono vuoti (prioritari i campi gialli rispetto ai campi marroni)</t>
  </si>
  <si>
    <t>LEGENDA COLORI CELLE</t>
  </si>
  <si>
    <t>Rapporto di ispezione elettronico</t>
  </si>
  <si>
    <t>Data emissione. certif.</t>
  </si>
  <si>
    <t>DATA EMISS. CERT</t>
  </si>
  <si>
    <t>N. CERTIFICATO</t>
  </si>
  <si>
    <t>N. VERIFICA</t>
  </si>
  <si>
    <t>COD. ORDINE</t>
  </si>
  <si>
    <t>FIRMA LABE CHE HA APPROVATO LA BOZZA DEL CERTIFICATO DI ISPEZIONE</t>
  </si>
  <si>
    <t>CONTROLLO: Compilazione codice di protezione da parte di OPE</t>
  </si>
  <si>
    <t>CONTROLLO: Modifica foglio DATI INGRESSO da parte OPE dopo firma</t>
  </si>
  <si>
    <t>CONTROLLO: Cancellazione firma dell'operatore OPE</t>
  </si>
  <si>
    <t>COD. PROTEZIONE PER OPEE GENERATO/COPIATO</t>
  </si>
  <si>
    <t>COD. PROTEZIONE PER OPE GENERATO/COPIATO</t>
  </si>
  <si>
    <t>RAPPORTO ISPEZIONE ELETTRONICO</t>
  </si>
  <si>
    <t>ISPEZIONE FISCALE.?</t>
  </si>
  <si>
    <t>ISPEZ CON ESITO POSITIVO?</t>
  </si>
  <si>
    <t>ESITO MANOMISSIONE DATI</t>
  </si>
  <si>
    <t>INS DATI PROVE OK?</t>
  </si>
  <si>
    <t>INSERZIONE SISTEMA DI MISURA</t>
  </si>
  <si>
    <t>ESISTENZA CERT TA/TV?</t>
  </si>
  <si>
    <t>MISURA ERRORE A CARICO REALE</t>
  </si>
  <si>
    <t>MISURA ERRORE A CARICO FITTIZIO</t>
  </si>
  <si>
    <t>TEMPERATURA DI PROVA °C</t>
  </si>
  <si>
    <t>TIPO SISTEMA DI MISURA</t>
  </si>
  <si>
    <t>Tratto1 mm2/m</t>
  </si>
  <si>
    <t>Tratto2 mm2/m</t>
  </si>
  <si>
    <t>Tratto3 mm2/m</t>
  </si>
  <si>
    <t>Tratto4 mm2/m</t>
  </si>
  <si>
    <t>Caduta di tens</t>
  </si>
  <si>
    <t>Corrente circol</t>
  </si>
  <si>
    <t>REV. 6: Aggiunto Rapporto di Ispezione digitale. Aggiunto sistema di controllo manomissioni rapporto di ispezione attraverso firme di accesso sulle celle e convalida dati inseriti sulla bese delle firme.</t>
  </si>
  <si>
    <t>CC.09.00</t>
  </si>
  <si>
    <t>050034074</t>
  </si>
  <si>
    <t>CC.08.00</t>
  </si>
  <si>
    <t>SZ-03A-K6</t>
  </si>
  <si>
    <t>15140023D</t>
  </si>
  <si>
    <t>N.CERTIFICATO</t>
  </si>
  <si>
    <t>DATA EMISSIONE</t>
  </si>
  <si>
    <t>DATA MISURE</t>
  </si>
  <si>
    <t>LABORATORIO</t>
  </si>
  <si>
    <t>Certificati di Laboratorio TA/TV:</t>
  </si>
  <si>
    <t>Io sottoscritto dichiaro di aver eseguito l’ispezione sopra riportata secondo i criteri di indipendenza, imparzialità, integrità e riservatezza che mi sono impegnato a rispettare nei confronti di Energhia srl nell’esercizio dell’attività ispettiva di sistemi di misura dell’energia elettrica.</t>
  </si>
  <si>
    <t>Tel/Fax/Mail:</t>
  </si>
  <si>
    <t>CC.11.00</t>
  </si>
  <si>
    <t>050059578</t>
  </si>
  <si>
    <t>REV. 7: Aggiunti nuovo contatore ZERA MT 310 matr. 050059578 nel menù di selezione contatori.</t>
  </si>
  <si>
    <t>Verifica errore contatore-sistema di misura in campo.
Energia attiva</t>
  </si>
  <si>
    <t>Cod. Ordine:</t>
  </si>
  <si>
    <t>Pot. Att</t>
  </si>
  <si>
    <t>ELENCO UNITA' DI MISURA POTENZA</t>
  </si>
  <si>
    <t>MW</t>
  </si>
  <si>
    <t>Prima verifica</t>
  </si>
  <si>
    <t>Verifica periodica</t>
  </si>
  <si>
    <t>INSERZIONE ERRATA</t>
  </si>
  <si>
    <t>INS. CORRETTA</t>
  </si>
  <si>
    <t>INS. ERRATA</t>
  </si>
  <si>
    <t>INSERZIONE CORRETTA</t>
  </si>
  <si>
    <t>N. CIFRE</t>
  </si>
  <si>
    <t>Letture finali carico reale (Att/Reatt)</t>
  </si>
  <si>
    <r>
      <t>o</t>
    </r>
    <r>
      <rPr>
        <i/>
        <sz val="8"/>
        <rFont val="Arial"/>
        <family val="2"/>
      </rPr>
      <t xml:space="preserve"> Ang. Sfasam.:</t>
    </r>
  </si>
  <si>
    <r>
      <t>o</t>
    </r>
    <r>
      <rPr>
        <i/>
        <sz val="8"/>
        <rFont val="Arial"/>
        <family val="2"/>
      </rPr>
      <t xml:space="preserve"> Tipo carico:</t>
    </r>
  </si>
  <si>
    <t>Note OPE:</t>
  </si>
  <si>
    <t>CONTROLLO per OPEE: Presenza firme OPEE sul Rapporto di Ispezione</t>
  </si>
  <si>
    <t>CONTROLLO per OPEE: Tensione F-F per sistemi TRIFASE ARON o TRIFASE 3W</t>
  </si>
  <si>
    <t>Data scadenza</t>
  </si>
  <si>
    <t>Ispez. fiscale con esito negativo?</t>
  </si>
  <si>
    <t>CONTROLLO per OPEE: Termoigrometro e temperatura rilevata</t>
  </si>
  <si>
    <t>CONTROLLO per OPEE: Presenza di almeno una lettura compilata in Letture Iniziali e Finali di Verifica</t>
  </si>
  <si>
    <t>CONTROLLO per OPEE: Codici registri non corrispondenti tra Letture Iniziali e Finali di Verifica</t>
  </si>
  <si>
    <t>CONTROLLO per OPEE: Presenza di almeno un codice registro in Letture Iniziali e Finali di Verifica</t>
  </si>
  <si>
    <t>CONTROLLO per OPEE: Letture inserite in Letture Iniziali di Verifica devono risultare inserite anche in Letture Finali di Verifica</t>
  </si>
  <si>
    <t>CONTROLLO per OPEE: Letture Finali di verifica superiori o uguali a Letture Iniziali di Verifica</t>
  </si>
  <si>
    <t>CONTROLLO per OPEE: Presenza di entrambe le date per Misure errore carico reale (se eseguita prova)</t>
  </si>
  <si>
    <t>CONTROLLO per OPEE: Presenza di entrambe le date per Misure errore carico fittizio (se eseguita prova)</t>
  </si>
  <si>
    <t>CONTROLLO per OPEE: Presenza di almeno un codice registro in Letture Iniziali e Finali in Misure errore carico reale (se eseguita prova)</t>
  </si>
  <si>
    <t>CONTROLLO per OPEE: Presenza di almeno una lettura compilata in Letture Iniziali e Finali di Misure errore carico reale (se eseguita prova)</t>
  </si>
  <si>
    <t>CONTROLLO per OPEE: Letture Finali di Misure errore carico reale superiori o uguali a Letture Iniziali di Misure errore carico reale (se eseguita prova)</t>
  </si>
  <si>
    <t>CONTROLLO per OPEE: Codici registri non corrispondenti tra Letture Iniziali e Finali di Misure errore carico reale (se eseguita prova)</t>
  </si>
  <si>
    <t>CONTROLLO per OPEE: Letture inserite in Letture Iniziali di Misure errore carico reale devono risultare inserite anche in Letture Finali in Misure errore carico reale (se eseguita prova)</t>
  </si>
  <si>
    <t>CONTROLLO per OPEE: Presenza di almeno un codice registro in Letture Iniziali e Finali in Misure errore carico fittizio (se eseguita prova)</t>
  </si>
  <si>
    <t>CONTROLLO per OPEE: Presenza di almeno una lettura compilata in Letture Iniziali e Finali di Misure errore carico fittizio (se eseguita prova)</t>
  </si>
  <si>
    <t>CONTROLLO per OPEE: Letture Finali di Misure errore carico fittizio superiori o uguali a Letture Iniziali di Misure errore carico fittizio (se eseguita prova)</t>
  </si>
  <si>
    <t>CONTROLLO per OPEE: Codici registri non corrispondenti tra Letture Iniziali e Finali di Misure errore carico fittizio (se eseguita prova)</t>
  </si>
  <si>
    <t>CONTROLLO per OPEE: Letture inserite in Letture Iniziali di Misure errore carico fittizio devono risultare inserite anche in Letture Finali in Misure errore carico fittizio (se eseguita prova)</t>
  </si>
  <si>
    <t>CONTROLLO per OPEE: Qualche lettura Finale di verifica risulta inferiore alla rispettiva lettura Iniziali di Verifica, oppure nessuna lettura finale risulta superiore alla rispettiva lettura iniziale</t>
  </si>
  <si>
    <t>CONTROLLO per OPEE: Qualche lettura finale di Misura carico reale risulta inferiore alla rispettiva lettura iniziale di Misura carico reale, oppure nessuna lettura finale risulta superiore alla rispettiva lettura iniziale</t>
  </si>
  <si>
    <t>CONTROLLO per OPEE: Qualche lettura finale di Misura carico fittizio risulta inferiore alla rispettiva lettura iniziale di Misura carico fittizio, oppure nessuna lettura finale risulta superiore alla rispettiva lettura iniziale</t>
  </si>
  <si>
    <t>Data inizio:</t>
  </si>
  <si>
    <t>Ora inizio:</t>
  </si>
  <si>
    <t>Data fine:</t>
  </si>
  <si>
    <t>Ora fine:</t>
  </si>
  <si>
    <t>Data_lettura</t>
  </si>
  <si>
    <t>Ora_lettura</t>
  </si>
  <si>
    <t>CONTROLLO per OPEE: Data/ora inizio Verifica precedente a data/ora fine Verifica</t>
  </si>
  <si>
    <t>CONTROLLO per OPEE: Data/ora inizio Misure errore carico reale precedente a data/ora fine Misure errore carico reale</t>
  </si>
  <si>
    <t>CONTROLLO per OPEE: Data/ora inizio Misure errore carico fittizio precedente a data/ora fine Misure errore carico fittizio</t>
  </si>
  <si>
    <t>CONTROLLO per OPEE: Presenza di entrambe le data/ora di inizio e fine Verifica</t>
  </si>
  <si>
    <t>CONTROLLO per OPEE: Presenza contemporanea di data/ora per Misure errore carico reale (se eseguita prova)</t>
  </si>
  <si>
    <t>CONTROLLO per OPEE: Presenza contemporanea di data/ora per Misure errore carico fittizio (se eseguita prova)</t>
  </si>
  <si>
    <t>CONTROLLO per OPEE: Verifica inserimento tensioni come campi numerici in Misure carico reale</t>
  </si>
  <si>
    <t>CONTROLLO per OPEE: Verifica inserimento correnti come campi numerici in Misure carico reale</t>
  </si>
  <si>
    <t>CONTROLLO per OPEE: Verifica inserimento potenza attiva/reattiva come campi numerici in Misure carico reale</t>
  </si>
  <si>
    <t>CONTROLLO per OPEE: Verifica inserimento errori come campi numerici in Misure carico reale</t>
  </si>
  <si>
    <t>CONTROLLO per OPEE: Verifica inserimento tensione come campo numerico in Misure carico fittizio</t>
  </si>
  <si>
    <t>CONTROLLO per OPEE: Verifica inserimento errori come campi numerici in Misure carico fittizio</t>
  </si>
  <si>
    <t>DETTAGLI CONTROLLO COMPILAZIONE RAPPORTO ISPEZIONE</t>
  </si>
  <si>
    <r>
      <t>o</t>
    </r>
    <r>
      <rPr>
        <i/>
        <sz val="8"/>
        <rFont val="Arial"/>
        <family val="2"/>
      </rPr>
      <t xml:space="preserve"> Motivazione 
&lt;Imin contatore</t>
    </r>
  </si>
  <si>
    <t>Energia contatore campione:</t>
  </si>
  <si>
    <t>K sistema misurato</t>
  </si>
  <si>
    <r>
      <t>Errore E</t>
    </r>
    <r>
      <rPr>
        <vertAlign val="subscript"/>
        <sz val="8"/>
        <rFont val="Arial"/>
        <family val="2"/>
      </rPr>
      <t>k</t>
    </r>
    <r>
      <rPr>
        <sz val="8"/>
        <rFont val="Arial"/>
        <family val="2"/>
      </rPr>
      <t>:</t>
    </r>
  </si>
  <si>
    <t>ELENCO UNITA' DI MISURA ENERGIA</t>
  </si>
  <si>
    <t>Wh</t>
  </si>
  <si>
    <t>Δ lettura contat. in prova:</t>
  </si>
  <si>
    <t>Energia primaria c. campione:</t>
  </si>
  <si>
    <t>Conversione en. c. campione in energia primario</t>
  </si>
  <si>
    <t>Unità di misura Energia:</t>
  </si>
  <si>
    <t>Costante lettura complessiva sistema di misura:</t>
  </si>
  <si>
    <t>Carico REALE</t>
  </si>
  <si>
    <t>Carico FITTIZIO</t>
  </si>
  <si>
    <t>Contat. campione su PRIMARIO</t>
  </si>
  <si>
    <t>Contat. campione su SECONDARIO</t>
  </si>
  <si>
    <t>ESITO
NEGATIVO</t>
  </si>
  <si>
    <t>ESITO
POSITIVO</t>
  </si>
  <si>
    <t>Tipologia display contatore:</t>
  </si>
  <si>
    <t>Fisso</t>
  </si>
  <si>
    <t>Scroll automatico</t>
  </si>
  <si>
    <t>Meccanico</t>
  </si>
  <si>
    <t>ERRORI MASSIMI PER VERIFICA INTEGRAZIONE NUMERATORE</t>
  </si>
  <si>
    <t>DISPLAY MANUALE</t>
  </si>
  <si>
    <t>DISPLAY A SCORRIMENTO AUTOMATICO</t>
  </si>
  <si>
    <t>DISPLAY MECCANICO</t>
  </si>
  <si>
    <t>CONTROLLO per OPEE: Verifica integrazione numeratore</t>
  </si>
  <si>
    <t>Misura V:</t>
  </si>
  <si>
    <t>Corrente di transizione (A):</t>
  </si>
  <si>
    <r>
      <t xml:space="preserve"> </t>
    </r>
    <r>
      <rPr>
        <b/>
        <sz val="8"/>
        <rFont val="Wingdings"/>
        <charset val="2"/>
      </rPr>
      <t>o</t>
    </r>
    <r>
      <rPr>
        <b/>
        <i/>
        <sz val="8"/>
        <rFont val="Arial"/>
        <family val="2"/>
      </rPr>
      <t xml:space="preserve"> Verifica delle grandezze di influenza sul sistema di misura:</t>
    </r>
  </si>
  <si>
    <t>% PR_T1</t>
  </si>
  <si>
    <t>% PR_T2</t>
  </si>
  <si>
    <t>% PR_T3</t>
  </si>
  <si>
    <t>TRASFORMATORI AMPEROMETRICI</t>
  </si>
  <si>
    <t>TRASFORMATORI VOLTMETRICI</t>
  </si>
  <si>
    <t>ELENCO INTEGRAZIONI</t>
  </si>
  <si>
    <r>
      <t xml:space="preserve">cos </t>
    </r>
    <r>
      <rPr>
        <sz val="8"/>
        <rFont val="Calibri"/>
        <family val="2"/>
      </rPr>
      <t>ϕ 
L-C</t>
    </r>
  </si>
  <si>
    <r>
      <t xml:space="preserve">sen </t>
    </r>
    <r>
      <rPr>
        <sz val="8"/>
        <rFont val="Calibri"/>
        <family val="2"/>
      </rPr>
      <t>ϕ
L-C</t>
    </r>
  </si>
  <si>
    <t>CONTROLLO per OPEE: Verifica inserimento cos_fi e sen_fi come campi numerici in Misure carico reale</t>
  </si>
  <si>
    <t>CONTROLLO per OPEE: Verifica inserimento cos-fi e sen_fi con valore positivo in Misure carico reale</t>
  </si>
  <si>
    <t>CONTROLLO per OPEE: Verifica inserimento cos-fi e sen_fi con valore minore o uguale a 1 in Misure carico reale</t>
  </si>
  <si>
    <t>PRIMARIO</t>
  </si>
  <si>
    <t>SECONDARIO</t>
  </si>
  <si>
    <r>
      <t>o</t>
    </r>
    <r>
      <rPr>
        <sz val="8"/>
        <rFont val="Arial"/>
        <family val="2"/>
      </rPr>
      <t xml:space="preserve"> Inserzione contatore campione:</t>
    </r>
  </si>
  <si>
    <t>ELENCO FATTORE DI POTENZA</t>
  </si>
  <si>
    <t>CONTROLLO per OPEE: Errore di compilazione Movimentazione suggelli</t>
  </si>
  <si>
    <t>CONTROLLO per OPE: Verifica inserimento corrente primaria/secondaria di TA, tensione primaria/secondaria di TV e prestazione TA TV come campi numerici</t>
  </si>
  <si>
    <t>CONTROLLO per OPE: Data Ispezione entro l'anno di validità di taratura annuale esterna del contatore campione utilizzato</t>
  </si>
  <si>
    <t>RIASSUNTO CONTROLLO COMPILAZIONE RAPPORTO ISPEZIONE DA PARTE DI OPEE</t>
  </si>
  <si>
    <t>CONTROLLI CORRETTA COMPILAZIONE OPEE</t>
  </si>
  <si>
    <t>CONTROLLI COMPILAZ. OPE</t>
  </si>
  <si>
    <t>RIASSUNTO CONTROLLO COMPILAZIONE RAPPORTO ISPEZIONE DA PARTE DI OPE</t>
  </si>
  <si>
    <t>TIPO ISPEZIONE?</t>
  </si>
  <si>
    <t>CONTROLLO COMPILAZIONE RAPPORTO ISPEZIONE DI OPEE</t>
  </si>
  <si>
    <t>CONTROLLO COMPILAZIONE RAPPORTO ISPEZIONE DI OPE</t>
  </si>
  <si>
    <t>REV. 8: Aggiornamento per recepire osservazioni Accredia per accreditamento finale.
Aggiunti controlli compilazione per OPEE e OPE. Aggiunti ulteriori controlli firme con impossibilità di firmare se non sono rispettate predefinite condizioni. Eliminati campi di compilazione di OPE relativi ad aspetti tecnici nel rapporto di ispezione</t>
  </si>
  <si>
    <t>release: 20/05/2019</t>
  </si>
  <si>
    <t>CONTROLLO per OPEE: Costante di lettura complessiva del sistema di misura come campi numerici</t>
  </si>
  <si>
    <r>
      <t xml:space="preserve"> </t>
    </r>
    <r>
      <rPr>
        <b/>
        <sz val="8"/>
        <rFont val="Wingdings"/>
        <charset val="2"/>
      </rPr>
      <t>o</t>
    </r>
    <r>
      <rPr>
        <b/>
        <i/>
        <sz val="8"/>
        <rFont val="Arial"/>
        <family val="2"/>
      </rPr>
      <t xml:space="preserve"> Verifica corretto abbinamento elementi costituenti il sistema di misura (da eseguirsi nella PRIMA VERIFICA)</t>
    </r>
  </si>
  <si>
    <r>
      <t>o</t>
    </r>
    <r>
      <rPr>
        <b/>
        <sz val="8"/>
        <rFont val="Arial"/>
        <family val="2"/>
      </rPr>
      <t xml:space="preserve"> DETERMINAZIONE PRESTAZIONI REALI DEI TA/TV (INIEZIONE DI CORRENTE (TA) /TENSIONE FITTIZIA (TV)/ REALE) (Solo prima verifica o in mancanza del dato da tarature/verifiche precedenti)</t>
    </r>
  </si>
  <si>
    <r>
      <t>o</t>
    </r>
    <r>
      <rPr>
        <b/>
        <sz val="8"/>
        <rFont val="Arial"/>
        <family val="2"/>
      </rPr>
      <t xml:space="preserve"> INFLUENZA RESISTENZA CONNESSIONI TV" (CIRCUITO SECONDARIO TV)  (Solo prima verifica o in mancanza del dato da tarature/verifiche precedenti)</t>
    </r>
  </si>
  <si>
    <t>Incert. campione &lt;=1/3 MPE sist. di mis.:</t>
  </si>
  <si>
    <t>X</t>
  </si>
  <si>
    <t>ORD2003061B</t>
  </si>
  <si>
    <t>400 V</t>
  </si>
  <si>
    <t>PROPRIO</t>
  </si>
  <si>
    <t>2</t>
  </si>
  <si>
    <t>6</t>
  </si>
  <si>
    <t>400 V (F-F)</t>
  </si>
  <si>
    <t>1</t>
  </si>
  <si>
    <t>CENTRALE TERMICA</t>
  </si>
  <si>
    <t>PINZE PICCOLE</t>
  </si>
  <si>
    <t>MT07.00</t>
  </si>
  <si>
    <t>50,011 HZ</t>
  </si>
  <si>
    <t>+0,148%</t>
  </si>
  <si>
    <t>ENERGHIA BS2</t>
  </si>
  <si>
    <t>NESSUNO - PRIMO IMPIANTO</t>
  </si>
  <si>
    <t>45 A</t>
  </si>
  <si>
    <t>\\192.168.1.190\Energhia\energhia\CONTATORI FISCALI\ISPEZIONI\ISPEZIONI IN CAMPO\FOTOGRAFIE\FOTOGRAFIE_2020\CP200436_01519684_AC2</t>
  </si>
  <si>
    <t>CC30022/19</t>
  </si>
  <si>
    <t>APPLIED PRECISION LTD</t>
  </si>
  <si>
    <t>CORRETTA</t>
  </si>
  <si>
    <t>DESCRIZIONE CAMPO</t>
  </si>
  <si>
    <t>DATA DELLA VERIFICA</t>
  </si>
  <si>
    <t>SCADENZA CERTIFICATO</t>
  </si>
  <si>
    <t>FIRME FINALI</t>
  </si>
  <si>
    <t>DESCRIZIONE CAMPO RIPORTATO NEL CERTIFICATO</t>
  </si>
  <si>
    <t>VALORE CAMPO RIPORTATO NEL CERTIFICATO</t>
  </si>
  <si>
    <t>SEZIONE DEL CERTIFICATO</t>
  </si>
  <si>
    <t>SIG. PIPPO</t>
  </si>
  <si>
    <t>REVALCO</t>
  </si>
  <si>
    <t>0,2</t>
  </si>
  <si>
    <t>LOCALE QUADRI</t>
  </si>
  <si>
    <t>5</t>
  </si>
  <si>
    <t>3</t>
  </si>
  <si>
    <t>4</t>
  </si>
  <si>
    <t>7</t>
  </si>
  <si>
    <t>8</t>
  </si>
  <si>
    <t>9</t>
  </si>
  <si>
    <t>10</t>
  </si>
  <si>
    <t>ENERGHIA BS1</t>
  </si>
  <si>
    <t>ENERGHIA BS3</t>
  </si>
  <si>
    <t>ENERGHIA BS5</t>
  </si>
  <si>
    <t>ENERGHIA BS7</t>
  </si>
  <si>
    <t>FORMATO PREVISTO PER XML</t>
  </si>
  <si>
    <t>AT</t>
  </si>
  <si>
    <t>MT</t>
  </si>
  <si>
    <t>BT</t>
  </si>
  <si>
    <t>PRODUZIONE COGENERATORE "MASTER - MATRICOLA 3086"</t>
  </si>
  <si>
    <t>50</t>
  </si>
  <si>
    <t>100</t>
  </si>
  <si>
    <t>Si</t>
  </si>
  <si>
    <t>No</t>
  </si>
  <si>
    <t>Non eseguita</t>
  </si>
  <si>
    <t>PZZCST69C06B157V</t>
  </si>
  <si>
    <t>MDGMRA69C11B157F</t>
  </si>
  <si>
    <t>VIA VALCAMONICA, 10/A - BRESCIA (BS)</t>
  </si>
  <si>
    <t>IT00BSE01234F</t>
  </si>
  <si>
    <t>10000</t>
  </si>
  <si>
    <t>0,25 A</t>
  </si>
  <si>
    <t>S.A.EL.</t>
  </si>
  <si>
    <t>TCO80</t>
  </si>
  <si>
    <t>TT10</t>
  </si>
  <si>
    <t>111111</t>
  </si>
  <si>
    <t>222222</t>
  </si>
  <si>
    <t>333333</t>
  </si>
  <si>
    <t>444444</t>
  </si>
  <si>
    <t>555555</t>
  </si>
  <si>
    <t>666666</t>
  </si>
  <si>
    <t>VIA BRESCIA, 128 - CREMONA (CR)</t>
  </si>
  <si>
    <t>150</t>
  </si>
  <si>
    <t>IMPIANTO DI COGENERAZIONE</t>
  </si>
  <si>
    <t>900 kW</t>
  </si>
  <si>
    <t>LANDIS+GYR</t>
  </si>
  <si>
    <t>97005555</t>
  </si>
  <si>
    <t>3x58/100…240/415 V</t>
  </si>
  <si>
    <t>0,05-5(10) A</t>
  </si>
  <si>
    <t>1S</t>
  </si>
  <si>
    <t>CE M20 1259</t>
  </si>
  <si>
    <t>-40+70</t>
  </si>
  <si>
    <t>ZMD405CR44.0007 S3 B32</t>
  </si>
  <si>
    <t>CERTIFICATI DI LABORATORIO</t>
  </si>
  <si>
    <t>000001,10</t>
  </si>
  <si>
    <t>000002,20</t>
  </si>
  <si>
    <t>177,6</t>
  </si>
  <si>
    <t>178,7</t>
  </si>
  <si>
    <t>179,1</t>
  </si>
  <si>
    <t>903 KW / 2,2644 KW</t>
  </si>
  <si>
    <t>3,351</t>
  </si>
  <si>
    <t>3,411</t>
  </si>
  <si>
    <t>3,344</t>
  </si>
  <si>
    <t>1,025(5a)</t>
  </si>
  <si>
    <t>1,013(5a)</t>
  </si>
  <si>
    <t>1,093(5a)</t>
  </si>
  <si>
    <t>2,230(5a)</t>
  </si>
  <si>
    <t>2,459(5a)</t>
  </si>
  <si>
    <t>2,311(5a)</t>
  </si>
  <si>
    <t>2,2644 KW</t>
  </si>
  <si>
    <t>57,7</t>
  </si>
  <si>
    <t>57,74</t>
  </si>
  <si>
    <t>57,73</t>
  </si>
  <si>
    <t>0,985</t>
  </si>
  <si>
    <t>000002,30</t>
  </si>
  <si>
    <t>000002,40</t>
  </si>
  <si>
    <t>60 IMP</t>
  </si>
  <si>
    <t>20 kV/400 V</t>
  </si>
  <si>
    <t>000002,50</t>
  </si>
  <si>
    <t>MORSETTIERA DI PROVA</t>
  </si>
  <si>
    <t>COPRIMORSETTI CONTATORE</t>
  </si>
  <si>
    <t>COPRIMORSETTI TA-FASE R</t>
  </si>
  <si>
    <t>COPRIMORSETTI TA-FASE S</t>
  </si>
  <si>
    <t>PLEXIGLASS ACCESSO A TA, TV E PRESE VOLTMETRICHE</t>
  </si>
  <si>
    <t>VANO BATTERIA CONTATORE</t>
  </si>
  <si>
    <t>GRUPPO OTTICO CONTATORE</t>
  </si>
  <si>
    <t>000002,70</t>
  </si>
  <si>
    <t>000002,60</t>
  </si>
  <si>
    <t>20/07/2020</t>
  </si>
  <si>
    <t>20 kV</t>
  </si>
  <si>
    <t>000001,20</t>
  </si>
  <si>
    <t>20000</t>
  </si>
  <si>
    <t>VEDI PRECEDENTE CERTIFICATO D'ISPEZIONE IN CAMPO</t>
  </si>
  <si>
    <t>60</t>
  </si>
  <si>
    <t>PINCO PALLINO S.R.L.</t>
  </si>
  <si>
    <t>ID laboratorio</t>
  </si>
  <si>
    <t>02270450980</t>
  </si>
  <si>
    <r>
      <t xml:space="preserve"> </t>
    </r>
    <r>
      <rPr>
        <b/>
        <sz val="14"/>
        <color rgb="FF0000FF"/>
        <rFont val="Calibri"/>
        <family val="2"/>
      </rPr>
      <t>EVENTUALI AZIONI SUL FILE DA PARTE DI ENERGHIA</t>
    </r>
    <r>
      <rPr>
        <b/>
        <sz val="14"/>
        <color indexed="8"/>
        <rFont val="Calibri"/>
        <family val="2"/>
      </rPr>
      <t xml:space="preserve"> O</t>
    </r>
    <r>
      <rPr>
        <b/>
        <sz val="14"/>
        <rFont val="Calibri"/>
        <family val="2"/>
      </rPr>
      <t xml:space="preserve"> ALL'ATTENZIONE DI ANDREA</t>
    </r>
  </si>
  <si>
    <t>C.F. o Partita IVA laboratorio</t>
  </si>
  <si>
    <t>C.F. ENERGHIA</t>
  </si>
  <si>
    <t>Alfanumerico 11 o 16 caratteri</t>
  </si>
  <si>
    <t>Numerico intero, minimo 1, massimo 3 caratteri</t>
  </si>
  <si>
    <t>VERIFICA</t>
  </si>
  <si>
    <t>NUMERO INTERNO CERTIFICATO</t>
  </si>
  <si>
    <t>Alfanumerico, minimo 1, massimo 15 caratteri</t>
  </si>
  <si>
    <t>Data: aaaa-mm-gg</t>
  </si>
  <si>
    <t>VERIFICA C2</t>
  </si>
  <si>
    <t>ORA ASSOLUTA INIZIO ISPEZIONE</t>
  </si>
  <si>
    <t>Ora: hh:mm:ss</t>
  </si>
  <si>
    <t>ORA ASSOLUTA FINE ISPEZIONE</t>
  </si>
  <si>
    <t>POSIZIONE CONTATORE</t>
  </si>
  <si>
    <t>TIPOLOGIA ENERGIA MISURATA</t>
  </si>
  <si>
    <t>TIPOLOGIA ISPEZIONE</t>
  </si>
  <si>
    <t>TENSIONE CONNESSIONE RETE</t>
  </si>
  <si>
    <t>Valori previsti:
AT
MT
BT</t>
  </si>
  <si>
    <t>TENSIONE IMPIANTO</t>
  </si>
  <si>
    <t>Alfanumerico, minimo 1, massimo 6 caratteri</t>
  </si>
  <si>
    <t>OPEE ricordare di scrivere nel "campo tensione nominale primaria da misurare" tensioni in media/alta/altissima in kV anziché in V</t>
  </si>
  <si>
    <t>RICHIEDENTE</t>
  </si>
  <si>
    <t>CODICE ACCISA</t>
  </si>
  <si>
    <t>OPEE ricordare di scrivere il codice accisa omettendo "IT00"</t>
  </si>
  <si>
    <t>C.F. DITTA CLIENTE</t>
  </si>
  <si>
    <t>VIA, VIALE, PIAZZA</t>
  </si>
  <si>
    <t>Civico:</t>
  </si>
  <si>
    <t>CIVICO</t>
  </si>
  <si>
    <t>Alfanumerico, minimo 1, massimo 10 caratteri.
Se non presente codice accisa il presente campo è da compilare</t>
  </si>
  <si>
    <t>Provincia:</t>
  </si>
  <si>
    <t>SIGLA PROVINCIA</t>
  </si>
  <si>
    <t>Comune:</t>
  </si>
  <si>
    <t>CODICE CATASTALE COMUNE</t>
  </si>
  <si>
    <t>Inserire solo codice catastale del comune.
Se non presente codice accisa il presente campo è da compilare</t>
  </si>
  <si>
    <t>C.A.P.:</t>
  </si>
  <si>
    <t>C.A.P.</t>
  </si>
  <si>
    <t>MARCA CONTATORE</t>
  </si>
  <si>
    <t>MODELLO CONTATORE</t>
  </si>
  <si>
    <t>Alfanumerico, minimo 1, massimo 50 caratteri</t>
  </si>
  <si>
    <t>MID CONTATORE</t>
  </si>
  <si>
    <t>COSTANTE INTEGRAZIONE CONTATORE</t>
  </si>
  <si>
    <t>Alfanumerico, minimo 1, massimo 20 caratteri</t>
  </si>
  <si>
    <t>Alfanumerico, minimo 1, massimo 10 caratteri</t>
  </si>
  <si>
    <t>CLASSE ATTIVA CONTATORE</t>
  </si>
  <si>
    <t>Alfanumerico, minimo 1, massimo 5 caratteri</t>
  </si>
  <si>
    <t>TIPO INSERZIONE CONTATORE</t>
  </si>
  <si>
    <t>Valori previsti: 
Diretta
Semidiretta
Indiretta</t>
  </si>
  <si>
    <t>U.M. frequenza:</t>
  </si>
  <si>
    <t>U.M. FREQUENZA</t>
  </si>
  <si>
    <t>Hz</t>
  </si>
  <si>
    <t xml:space="preserve">Cristiano creare campo Hz o compilare ogni volta manualmente nel presente foglio. </t>
  </si>
  <si>
    <t>FREQUENZA CONTATORE</t>
  </si>
  <si>
    <t>Alfanumerico, minimo 1, massimo 12 caratteri</t>
  </si>
  <si>
    <t>U.M. tensione:</t>
  </si>
  <si>
    <t>U.M. TENSIONE</t>
  </si>
  <si>
    <t xml:space="preserve">Cristiano creare campo V o compilare ogni volta manualmente nel presente foglio. </t>
  </si>
  <si>
    <t>RANGE TENSIONE CONTATORE</t>
  </si>
  <si>
    <t>U.M. corrente:</t>
  </si>
  <si>
    <t>U.M. CORRENTE</t>
  </si>
  <si>
    <t xml:space="preserve">Cristiano creare campo A o compilare ogni volta manualmente nel presente foglio. </t>
  </si>
  <si>
    <t>RANGE CORRENTE CONTATORE</t>
  </si>
  <si>
    <t>Alfanumerico, minimo 1, massimo 25 caratteri</t>
  </si>
  <si>
    <t>K SOLO CONTATORE O NUMERATORE PER PROGRAMMATO</t>
  </si>
  <si>
    <t>Numerico intero, minimo 1, massimo 10 caratteri</t>
  </si>
  <si>
    <t>K contatore denominatore:</t>
  </si>
  <si>
    <t>K DENOMINATORE PER PROGRAMMATO</t>
  </si>
  <si>
    <t>Numerico intero, minimo 0, massimo 10 caratteri</t>
  </si>
  <si>
    <t xml:space="preserve">Cristiano creare campo K contatore denominatore o compilare ogni volta manualmente nel presente foglio. </t>
  </si>
  <si>
    <t>INTERI NUMERATORE CONTATORE</t>
  </si>
  <si>
    <t>DECIMALI NUMERATORE CONTATORE</t>
  </si>
  <si>
    <t>Numerico intero, minimo 0, massimo 5 caratteri</t>
  </si>
  <si>
    <t>K GRUPPO</t>
  </si>
  <si>
    <t>Numerico decimale, massimo 7 interi e 2 decimali</t>
  </si>
  <si>
    <t>AMPEROMETRICO</t>
  </si>
  <si>
    <t>MARCA TA</t>
  </si>
  <si>
    <t>Alfanumerico, minimo 0, massimo 50 caratteri</t>
  </si>
  <si>
    <t>MODELLO TA</t>
  </si>
  <si>
    <t>RAPPORTO NUMERATORE TA</t>
  </si>
  <si>
    <t>Cristiano creare cella esclusiva per numeratore rapporto TA</t>
  </si>
  <si>
    <t>Rapporto denominatore:</t>
  </si>
  <si>
    <t>RAPPORTO DENOMINATORE TA</t>
  </si>
  <si>
    <t>Cristiano creare cella esclusiva per denominatore rapporto TA</t>
  </si>
  <si>
    <t>CLASSE TA</t>
  </si>
  <si>
    <t>Alfanumerico, minimo 0, massimo 10 caratteri</t>
  </si>
  <si>
    <t>PRESTAZIONE TA</t>
  </si>
  <si>
    <t>U.M. frequenza TA:</t>
  </si>
  <si>
    <t>U.M. FREQUENZA TA</t>
  </si>
  <si>
    <t>FREQUENZA TA</t>
  </si>
  <si>
    <t>Alfanumerico, minimo 0, massimo 12 caratteri</t>
  </si>
  <si>
    <t>MATRICOLA TA R</t>
  </si>
  <si>
    <t>Alfanumerico, minimo 0, massimo 30 caratteri</t>
  </si>
  <si>
    <t>MATRICOLA TA S</t>
  </si>
  <si>
    <t>MATRICOLA TA T</t>
  </si>
  <si>
    <t>VOLTMETRICO</t>
  </si>
  <si>
    <t>MARCA TV</t>
  </si>
  <si>
    <t>MODELLO TV</t>
  </si>
  <si>
    <t>RAPPORTO NUMERATORE TV</t>
  </si>
  <si>
    <t>Cristiano creare cella esclusiva per numeratore rapporto TV</t>
  </si>
  <si>
    <t>rad3 rapporto:</t>
  </si>
  <si>
    <t>rad3 RAPPORTO NUMERATORE TV</t>
  </si>
  <si>
    <t xml:space="preserve">Cristiano creare cella esclusiva per rad3 numeratore rapporto TV o compilare ogni volta manualmente nel presente foglio se necessario. </t>
  </si>
  <si>
    <t>RAPPORTO DENOMINATORE TV</t>
  </si>
  <si>
    <t>Cristiano creare cella esclusiva per denominatore rapporto TV</t>
  </si>
  <si>
    <t>rad3 rapporto denominatore:</t>
  </si>
  <si>
    <t>rad3 RAPPORTO DENOMINATORETV</t>
  </si>
  <si>
    <t xml:space="preserve">Cristiano creare cella esclusiva per rad3 denominatore rapporto TV o compilare ogni volta manualmente nel presente foglio se necessario. </t>
  </si>
  <si>
    <t>CLASSE TV</t>
  </si>
  <si>
    <t>PRESTAZIONE TV</t>
  </si>
  <si>
    <t>U.M. frequenza TV:</t>
  </si>
  <si>
    <t>U.M. FREQUENZA TV</t>
  </si>
  <si>
    <t>FREQUENZA TV</t>
  </si>
  <si>
    <t>MATRICOLA TV 1</t>
  </si>
  <si>
    <t>MATRICOLA TV 2</t>
  </si>
  <si>
    <t>MATRICOLA TV 3</t>
  </si>
  <si>
    <t>VERIFICA INSERZIONE</t>
  </si>
  <si>
    <t>VERIFICA INSERZIONE ESGUITA O MENO</t>
  </si>
  <si>
    <t>Come sopra:</t>
  </si>
  <si>
    <t>ESITO VERIFICA INSERZIONE</t>
  </si>
  <si>
    <t>NOTA VERIFICA INSERZIONE</t>
  </si>
  <si>
    <t>Alfanumerico, minimo 0, massimo 5 caratteri</t>
  </si>
  <si>
    <t>CONTROLLO CONVERSIONE</t>
  </si>
  <si>
    <t>CONTROLLO CONVERSIONE ESEGUITO O MENO</t>
  </si>
  <si>
    <t>ESITO CONTROLLO CONVERSIONE</t>
  </si>
  <si>
    <t>NOTA CONTROLLO CONVERSIONE</t>
  </si>
  <si>
    <t>CONTROLLO INTEGRAZIONE</t>
  </si>
  <si>
    <t>CONTROLLO INTEGRAZIONE ESEGUITO O MENO</t>
  </si>
  <si>
    <t>ESITO CONTROLLO INTEGRAZIONE</t>
  </si>
  <si>
    <t>NOTA CONTROLLO INTEGRAZIONE</t>
  </si>
  <si>
    <t>ISPEZIONE REALE ESEGUITA SU CONTATORE/SISTEMA</t>
  </si>
  <si>
    <t>Cristiano creare condizione se….</t>
  </si>
  <si>
    <t>CAMPIONE</t>
  </si>
  <si>
    <t>MARCA STRUMENTO</t>
  </si>
  <si>
    <t>MODELLO STRUMENTO</t>
  </si>
  <si>
    <t>MATRICOLA STRUMENTO</t>
  </si>
  <si>
    <t>Alfanumerico, minimo 1, massimo 30 caratteri</t>
  </si>
  <si>
    <t>CERTIFICATO STRUMENTO</t>
  </si>
  <si>
    <t>ENTE EMISSORE CERTIFICATO STRUMENTO</t>
  </si>
  <si>
    <t>DATA EMISSIONE CERTIFICATO STRUMENTO</t>
  </si>
  <si>
    <t>REGISTRO CARICO REALE/TOTALIZZATORE</t>
  </si>
  <si>
    <t>CODICE LETTURA TOTALIZZATORE REALE</t>
  </si>
  <si>
    <t>LETTURA INIZIALE TOTALIZZATORE PROVA REALE</t>
  </si>
  <si>
    <t>Alfanumerico, minimo 0, massimo 15 caratteri</t>
  </si>
  <si>
    <t>LETTURA FINALE TOTALIZZATORE PROVA REALE</t>
  </si>
  <si>
    <t>Molteplicità blocco registro totalizzatore carico reale:</t>
  </si>
  <si>
    <t>NUMERO BLOCCHI TOTALIZZATORE REALE</t>
  </si>
  <si>
    <t>Numerico da 0 a 2</t>
  </si>
  <si>
    <t>Cristiano creare condizione se…. o compilare ogni volta manualmente nel presente foglio</t>
  </si>
  <si>
    <t>REGISTRO CARICO REALE/TOTALIZZATORE FASCE</t>
  </si>
  <si>
    <t>CODICE LETTURA TOTALIZZATORE FASCE REALE</t>
  </si>
  <si>
    <t>LETTURA INIZIALE TOTALIZZATORE FASCE PROVA REALE</t>
  </si>
  <si>
    <t>LETTURA FINALE TOTALIZZATORE FASCE PROVA REALE</t>
  </si>
  <si>
    <t>Molteplicità blocco registro totalizzatore fasce carico reale:</t>
  </si>
  <si>
    <t>NUMERO BLOCCHI TOTALIZZATORE FASCE REALE</t>
  </si>
  <si>
    <t>Numerico da 0 a 6</t>
  </si>
  <si>
    <t>Cristiano creare condizione di compilazione in automatico o compilare ogni volta manualmente nel presente foglio</t>
  </si>
  <si>
    <t>ISPEZIONE FITTIZIO ESEGUITA SU CONTATORE/SISTEMA</t>
  </si>
  <si>
    <t>REGISTRO CARICO FITTIZIO/TOTALIZZATORE</t>
  </si>
  <si>
    <t>CODICE LETTURA TOTALIZZATORE FITTIZIO</t>
  </si>
  <si>
    <t>LETTURA INIZIALE TOTALIZZATORE PROVA FITTIZIO</t>
  </si>
  <si>
    <t>LETTURA FINALE TOTALIZZATORE PROVA FITTIZIO</t>
  </si>
  <si>
    <t>Molteplicità blocco registro totalizzatore carico fittizio:</t>
  </si>
  <si>
    <t>NUMERO BLOCCHI TOTALIZZATORE FITTIZIO</t>
  </si>
  <si>
    <t>REGISTRO CARICO FITTIZIO/TOTALIZZATORE FASCE</t>
  </si>
  <si>
    <t>CODICE LETTURA TOTALIZZATORE FASCE FITTIZIO</t>
  </si>
  <si>
    <t>LETTURA INIZIALE TOTALIZZATORE FASCE PROVA FITTIZIO</t>
  </si>
  <si>
    <t>LETTURA FINALE TOTALIZZATORE FASCE PROVA FITTIZIO</t>
  </si>
  <si>
    <t>Molteplicità blocco registro totalizzatore fasce carico fittizio:</t>
  </si>
  <si>
    <t>NUMERO BLOCCHI TOTALIZZATORE FASCE FITTIZIO</t>
  </si>
  <si>
    <t>TENSIONE REALE</t>
  </si>
  <si>
    <t>U.M. tensione R:</t>
  </si>
  <si>
    <t>U.M. TENSIONE REALE FASE R</t>
  </si>
  <si>
    <t>TENSIONE FASE R</t>
  </si>
  <si>
    <t>Numerico decimale, massimo 4 interi e 1 decimale</t>
  </si>
  <si>
    <t>U.M. tensione S:</t>
  </si>
  <si>
    <t>U.M. TENSIONE REALE FASE S</t>
  </si>
  <si>
    <t>Tensione di misura:</t>
  </si>
  <si>
    <t>TENSIONE FASE S</t>
  </si>
  <si>
    <t>U.M. tensione T:</t>
  </si>
  <si>
    <t>U.M. TENSIONE REALE FASE T</t>
  </si>
  <si>
    <t>TENSIONE FASE T</t>
  </si>
  <si>
    <t>ERRORE REALE GLOBALE</t>
  </si>
  <si>
    <t>TIPOLOGIA ERRORE GLOBALE CARICO REALE</t>
  </si>
  <si>
    <t>NUMERO SINGOLA PROVA CARICO REALE</t>
  </si>
  <si>
    <t>CORRENTE SINGOLA PROVA CARICO REALE</t>
  </si>
  <si>
    <t>Numerico decimale, massimo 4 interi e 2 decimali (max. 1000,00)</t>
  </si>
  <si>
    <t>Cristiano formattare l'origine come non percentuale</t>
  </si>
  <si>
    <t>fdp tipo reale</t>
  </si>
  <si>
    <t>TIPO COSFI SINGOLA PROVA CARICO REALE</t>
  </si>
  <si>
    <t>Cristiano vedere come scorporare il tipo di cosfi dal valore o inserire manualmente ogni volta nel foglio</t>
  </si>
  <si>
    <t>VALORE COSFI SINGOLA PROVA CARICO REALE</t>
  </si>
  <si>
    <t>Numerico decimale, massimo 1 interi e 2 decimali</t>
  </si>
  <si>
    <t>Cristiano vedere come scorporare il valore dal tipo di cosfi, vedi sopra</t>
  </si>
  <si>
    <t>kW SINGOLA PROVA CARICO REALE</t>
  </si>
  <si>
    <t>ERRORE A+ SINGOLA PROVA CARICO REALE</t>
  </si>
  <si>
    <t>Numerico decimale, massimo 3 interi e 2 decimali (anche negativo)</t>
  </si>
  <si>
    <t>Cristiano i decimali dovranno essere sempre e solo 2</t>
  </si>
  <si>
    <t>ERRORE A- SINGOLA PROVA CARICO REALE</t>
  </si>
  <si>
    <t>ERRORE GLOBALE A+ SINGOLA PROVA CARICO REALE</t>
  </si>
  <si>
    <t>ERRORE GLOBALE A- SINGOLA PROVA CARICO REALE</t>
  </si>
  <si>
    <t>ERRORE LIMITE SINGOLA PROVA CARICO REALE</t>
  </si>
  <si>
    <t>Numerico decimale, massimo 3 interi e 2 decimali (solo &gt;=0)</t>
  </si>
  <si>
    <t>Molteplicità blocco carico reale:</t>
  </si>
  <si>
    <t>NUMERO BLOCCHI PROVE CARICO REALE</t>
  </si>
  <si>
    <t>ORARIO REALE</t>
  </si>
  <si>
    <t>ORARI INIZIO MERA PROVA A CARICO REALE</t>
  </si>
  <si>
    <t>ORARI FINE MERA PROVA A CARICO REALE</t>
  </si>
  <si>
    <t>TENSIONE FITTIZIO</t>
  </si>
  <si>
    <t>U.M. TENSIONE FITTIZIO FASE R</t>
  </si>
  <si>
    <t>U.M. TENSIONE FITTIZIO FASE S</t>
  </si>
  <si>
    <t>U.M. TENSIONE FITTIZIO FASE T</t>
  </si>
  <si>
    <t>ORIGINE TENSIONE PROVA CARICO FITTIZIO</t>
  </si>
  <si>
    <t>ERRORE GLOBALE FITTIZIO</t>
  </si>
  <si>
    <t>TIPOLOGIA ERRORE GLOBALE CARICO FITTIZIO</t>
  </si>
  <si>
    <t>NUMERO SINGOLA PROVA CARICO FITTIZIO</t>
  </si>
  <si>
    <t>FASI SINGOLA PROVA CARICO FITTIZIO</t>
  </si>
  <si>
    <t>CORRENTE SINGOLA PROVA CARICO FITTIZIO</t>
  </si>
  <si>
    <t>fdp tipo fittizio</t>
  </si>
  <si>
    <t>TIPO COSFI SINGOLA PROVA CARICO FITTIZIO</t>
  </si>
  <si>
    <t>VALORE COSFI SINGOLA PROVA CARICO FITTIZIO</t>
  </si>
  <si>
    <t>ERRORE A+ SINGOLA PROVA CARICO FITTIZIO</t>
  </si>
  <si>
    <t>ERRORE A- SINGOLA PROVA CARICO FITTIZIO</t>
  </si>
  <si>
    <t>ERRORE GLOBALE A+ SINGOLA PROVA CARICO FITTIZIO</t>
  </si>
  <si>
    <t>ERRORE GLOBALE A- SINGOLA PROVA CARICO FITTIZIO</t>
  </si>
  <si>
    <t>ERRORE LIMITE SINGOLA PROVA CARICO FITTIZIO</t>
  </si>
  <si>
    <t>Molteplicità blocco carico fittizio:</t>
  </si>
  <si>
    <t>NUMERO BLOCCHI PROVE CARICO FITTIZIO</t>
  </si>
  <si>
    <t>Numerico da 0 a 9</t>
  </si>
  <si>
    <t>ORARIO FITTIZIO</t>
  </si>
  <si>
    <t>ORARI INIZIO MERA PROVA A CARICO FITTIZIO</t>
  </si>
  <si>
    <t>ORARI FINE MERA PROVA A CARICOFITTIZIO</t>
  </si>
  <si>
    <t>SUGGELLI</t>
  </si>
  <si>
    <t>NUMERAZIONE PROGRESSIVA SUGGELLI</t>
  </si>
  <si>
    <t>Numerico intero, minimo 0, massimo 3 caratteri</t>
  </si>
  <si>
    <t>Cristiano aggiornare campi suggelli da 11 a 15</t>
  </si>
  <si>
    <t>MARCATURA SUGGELLO/I</t>
  </si>
  <si>
    <t>OPERAZIONE SU SUGGELLO/I</t>
  </si>
  <si>
    <t>POSIZIONE SUGGELLO/I</t>
  </si>
  <si>
    <t>Alfanumerico, minimo 0, massimo 100 caratteri</t>
  </si>
  <si>
    <t>Molteplicità blocco suggelli:</t>
  </si>
  <si>
    <t>NUMERO BLOCCHI SUGGELLI</t>
  </si>
  <si>
    <t>Numerico da 0 a 15</t>
  </si>
  <si>
    <t>BLOCCO NOTE GLOBALE FINALE</t>
  </si>
  <si>
    <t>Alfanumerico, minimo 0, massimo 1000 caratteri</t>
  </si>
  <si>
    <t>Cristiano riformattare come unica celle fonte di tutte le note necessarie fino ad un massimo di 1000 caratteri</t>
  </si>
  <si>
    <t>Codice fiscale</t>
  </si>
  <si>
    <t>ID ENERGHIA PER DOGANA</t>
  </si>
  <si>
    <t>BSE03161F</t>
  </si>
  <si>
    <t>Dato da compilare ogni volta manualmente nel presente foglio o creare riferimento in foglio sorgente</t>
  </si>
  <si>
    <t>ZMD405CR44.0007 S3a B32</t>
  </si>
  <si>
    <t>Indiretta</t>
  </si>
  <si>
    <t>Cristiano modificare foglio sorgente in base a nuove richieste (rispettare maiuscole e minuscole)</t>
  </si>
  <si>
    <t>OPEE non inserire unità di misura.</t>
  </si>
  <si>
    <t>3x58/100…240/415</t>
  </si>
  <si>
    <t>0,05-5(10)</t>
  </si>
  <si>
    <t>Modificare testo come da richieste Dogana</t>
  </si>
  <si>
    <t>NOTA1</t>
  </si>
  <si>
    <t>NOTA2</t>
  </si>
  <si>
    <t>NOTA3</t>
  </si>
  <si>
    <t>111111,12</t>
  </si>
  <si>
    <t>222222,12</t>
  </si>
  <si>
    <t>333333,12</t>
  </si>
  <si>
    <t>444444,12</t>
  </si>
  <si>
    <t>555555,12</t>
  </si>
  <si>
    <t>666666,12</t>
  </si>
  <si>
    <t>111111,11</t>
  </si>
  <si>
    <t>222222,11</t>
  </si>
  <si>
    <t>333333,11</t>
  </si>
  <si>
    <t>444444,11</t>
  </si>
  <si>
    <t>555555,11</t>
  </si>
  <si>
    <t>666666,11</t>
  </si>
  <si>
    <t>000001,30</t>
  </si>
  <si>
    <t>111111,13</t>
  </si>
  <si>
    <t>222222,13</t>
  </si>
  <si>
    <t>333333,13</t>
  </si>
  <si>
    <t>444444,13</t>
  </si>
  <si>
    <t>555555,13</t>
  </si>
  <si>
    <t>666666,13</t>
  </si>
  <si>
    <t>000001,40</t>
  </si>
  <si>
    <t>111111,14</t>
  </si>
  <si>
    <t>222222,14</t>
  </si>
  <si>
    <t>333333,14</t>
  </si>
  <si>
    <t>444444,14</t>
  </si>
  <si>
    <t>555555,14</t>
  </si>
  <si>
    <t>666666,14</t>
  </si>
  <si>
    <t>000001,50</t>
  </si>
  <si>
    <t>111111,15</t>
  </si>
  <si>
    <t>222222,15</t>
  </si>
  <si>
    <t>333333,15</t>
  </si>
  <si>
    <t>444444,15</t>
  </si>
  <si>
    <t>555555,15</t>
  </si>
  <si>
    <t>666666,15</t>
  </si>
  <si>
    <t>ENERGHIA BS8</t>
  </si>
  <si>
    <t>ENERGHIA BS9</t>
  </si>
  <si>
    <t>ENERGHIA BS10</t>
  </si>
  <si>
    <t>ENERGHIA BS4</t>
  </si>
  <si>
    <t>ENERGHIA BS6</t>
  </si>
  <si>
    <t>Valori previsti: 
rilevato
calcolato
non rilevabile</t>
  </si>
  <si>
    <t>non rilevabile</t>
  </si>
  <si>
    <t>Cristiano aggiornare sorgente con campi previsti dalla Dogana rispettando il formato minuscolo come scritto.</t>
  </si>
  <si>
    <t>calcolato</t>
  </si>
  <si>
    <t>PRODUZIONE COGENERATORE MASTER - MATRICOLA 3086</t>
  </si>
  <si>
    <t/>
  </si>
  <si>
    <t>NICCHIA POSTA IN PARETE CENTRALE TERMICA</t>
  </si>
  <si>
    <t>TARATURA CARICO FITTIZIO</t>
  </si>
  <si>
    <t>TARATURA CARICO REALE</t>
  </si>
  <si>
    <t>Valori previsti: 
1= Prima Verifica
2= Verifica Periodica
3= Verifica Straordinaria</t>
  </si>
  <si>
    <t>Valori previsti: 
0= No
1= Si
2= Non eseguibile</t>
  </si>
  <si>
    <t>Valori previsti: 
0= Negativo
1= Positivo
2= Non eseguita</t>
  </si>
  <si>
    <t>Valori previsti: 
1= Contatore
2= Contatore e TA
3= Contatore e TA e TV
4= Contatore e TV</t>
  </si>
  <si>
    <t>Numerico da minimo 0 a massimo 1</t>
  </si>
  <si>
    <t>Valori previsti: 
I= induttivo
C= capacitivo
R= resistivo</t>
  </si>
  <si>
    <t>Valori previsti: 
Rete
Carico fittizio</t>
  </si>
  <si>
    <t>ENERGHIA BS11</t>
  </si>
  <si>
    <t>ENERGHIA BS12</t>
  </si>
  <si>
    <t>ENERGHIA BS13</t>
  </si>
  <si>
    <t>ENERGHIA BS14</t>
  </si>
  <si>
    <t>ENERGHIA BS15</t>
  </si>
  <si>
    <t>Valori previsti: 
1= Applicato
2= Presente
3= Rimosso</t>
  </si>
  <si>
    <t>Cristiano introdurre campi suggelli da 11 a 15 rispettando maiscole minuscole</t>
  </si>
  <si>
    <t>SPORTELLO CONTATORE ACCESSO TASTO PROGRAMMAZIONE</t>
  </si>
  <si>
    <t>COPRIMORSETTI TA-FASE T</t>
  </si>
  <si>
    <t>CALOTTA CONTATOREEEEEEEEEEEEEEEEEEEEEEEEEEEEEEEEEEEEEEEEEEEEEEEEWSCDRFRGTGRTHRTHTRHRETH</t>
  </si>
  <si>
    <t>SUGGELLO DA AGGIUNGERE 11</t>
  </si>
  <si>
    <t>SUGGELLO DA AGGIUNGERE 12</t>
  </si>
  <si>
    <t>SUGGELLO DA AGGIUNGERE 13</t>
  </si>
  <si>
    <t>SUGGELLO DA AGGIUNGERE 14</t>
  </si>
  <si>
    <t>SUGGELLO DA AGGIUNGERE 15</t>
  </si>
  <si>
    <t>CODICE FISCALE ISPETTORE</t>
  </si>
  <si>
    <t>CODICE FISCALE RESPONSABILE EMISSIONE</t>
  </si>
  <si>
    <t>Numerico intero 5 caratteri.
Se non presente codice accisa il presente campo è da compilare</t>
  </si>
  <si>
    <t>Alfanumerico, minimo 11, massimo 16 caratteri</t>
  </si>
  <si>
    <t>Cristiano verificare riduzione da 11 a 9 prove, eliminare presumibilmente prove I=120% a cosfi 0,5L ed 1</t>
  </si>
  <si>
    <t>3x58/100-240/415</t>
  </si>
  <si>
    <t>OPEE non inserire unità di misura e non inserire "…" ma "-" tra le tensioni.</t>
  </si>
  <si>
    <t>AAAAAAAAAAAAAAAAAAAAAAAAAAAAABBBBBBBBBBBBBBBBBBBBBBBBBBBBBBBBBBBBBCCCCCCCCCCCCCCCCCCCCCCCCCCCCCCCCCCCCCCCDDDDDDDDDDDDDDDDDDDDDDDDDDDDDDDDDDDDEEEEEEEEEEEEEEEEEEEEEEEEEEEEEEEEEFFFFFFFFFFFFFFFFFFFFFFFGGGGGGGGGGGGGGGGGGGGGGGGGGGGGGGGGGGHHHHHHHHHHHHHHHHHHHHHHHHHHHHHHHHHHHHHIIIIIIIIIIIIIIIIIIIIIIIIIIIIIIIIIIIIILLLLLLLLLLLLLLLLLLLLLLLMMMMMMMMMMMMMMMNNNNNNNNNNNNNNNNNNNNNNOOOOOOOOOOOOOOOOPPPPPPPPPPPPPPPPQQQQQQQQQQQQQRRRRRRRRRRRRRRRSSSSSSSSSSSSSTTTTTTTTTTTTTTUUUUUUUUUUUUUVVVVVVVVVVVVVVVVV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XXXXXXXXXXXXXXXXXXXXXXXXXWWWWWWWWWWWWWWWWWWWWWWWWWYYYYYYYYYYYYYYYYYYYYYYYYYYYYYYYYYYYYYYYYYYYYYYYYYYYYYYYYYYYYY</t>
  </si>
  <si>
    <t>Ragione sociale</t>
  </si>
  <si>
    <t>Ubicazione sede legale:</t>
  </si>
  <si>
    <t>VIA, VIALE, PIAZZA SEDE LEGALE</t>
  </si>
  <si>
    <t>CIVICO SEDE LEGALE</t>
  </si>
  <si>
    <t>SIGLA PROVINCIA SEDE LEGALE</t>
  </si>
  <si>
    <t>CODICE CATASTALE COMUNE SEDE LEGALE</t>
  </si>
  <si>
    <t>C.A.P. SEDE LEGALE</t>
  </si>
  <si>
    <t>Cristiano creare sorgente. Dato da compilare sempre e comunque a prescindere che si abbia a disposizione o meno il codice accisa.</t>
  </si>
  <si>
    <t>DENOMINAZIONE RAGIONE SOCIALE</t>
  </si>
  <si>
    <t>Civico sede legale:</t>
  </si>
  <si>
    <t>Provincia sede legale:</t>
  </si>
  <si>
    <t>Comune sede legale:</t>
  </si>
  <si>
    <t>C.A.P sede legale.:</t>
  </si>
  <si>
    <t>VIA BRESCIA</t>
  </si>
  <si>
    <t>CR</t>
  </si>
  <si>
    <t>D150</t>
  </si>
  <si>
    <t>VIA VALCAMONICA</t>
  </si>
  <si>
    <t>10/A</t>
  </si>
  <si>
    <t>BS</t>
  </si>
  <si>
    <t>B157</t>
  </si>
  <si>
    <t>DATI ANAGRAFICI CLIENTE FINALE</t>
  </si>
  <si>
    <t>DATI TIPICI CERTIFICATO C2</t>
  </si>
  <si>
    <t>Tipologia ispezione</t>
  </si>
  <si>
    <t>Numero d'ordine</t>
  </si>
  <si>
    <t>Periodicità ispezione</t>
  </si>
  <si>
    <t>Durata ispezione completa</t>
  </si>
  <si>
    <t>Ispettore</t>
  </si>
  <si>
    <t>SE ISPEZIONE FISCALE O NON FISCALE</t>
  </si>
  <si>
    <t>FI</t>
  </si>
  <si>
    <t>FI=FISCALE - NF= NON FISCALE</t>
  </si>
  <si>
    <t>CODIDIFICA ORDINE ISPEZIONE</t>
  </si>
  <si>
    <t xml:space="preserve">CAUSA FREQUENTI REVISIONI SUCCESSIVE ALL'INVIO DEL C2, IL PRESENTE CAMPO DOVRA' ESSERE MODIFICABILE MANUALMENTE NEL TUO PROGRAMMA </t>
  </si>
  <si>
    <t>SE PRIMA, PERIODICA O STRAORDINARIA</t>
  </si>
  <si>
    <t>DURATA TOTALE ISPEZIONE</t>
  </si>
  <si>
    <t>NOME E COGNOME ISPETTORE</t>
  </si>
  <si>
    <t>CRISTIANO POZZI</t>
  </si>
  <si>
    <t>CONSIDERARLO PER ESTESO E NON CODICE FISCALE</t>
  </si>
  <si>
    <t>ESPRESSA IN MINUTI</t>
  </si>
  <si>
    <t>Matricola generatore carico fittizio</t>
  </si>
  <si>
    <t>MATRICOLA GENERATORE UTILIZZATO</t>
  </si>
  <si>
    <t>Matricola contatore campione</t>
  </si>
  <si>
    <t>Matricola accessorio misura correnti</t>
  </si>
  <si>
    <t>MATRICOLA EVENTUALE ACCESSORIO UTILIZZATO</t>
  </si>
  <si>
    <t>MATRICOLA PINZE IMPIEGATE. SE NON IMPIEGATE INSERIRE "DIRETTO"</t>
  </si>
  <si>
    <t>Esito verifica in campo</t>
  </si>
  <si>
    <t>SE ISPEZIONE CON ESITO NEGATIVO O POSITIVO</t>
  </si>
  <si>
    <t>MATRICOLA CONTATORE CAMPIONE UTILIZZATO</t>
  </si>
  <si>
    <t>POSITIVO - NEGATIVO</t>
  </si>
  <si>
    <t>PE</t>
  </si>
  <si>
    <t>PR=PRIMA - PE=PERIODICA - ST=STRAORDINARIA</t>
  </si>
  <si>
    <t>Tipo inserzione sistema di misura</t>
  </si>
  <si>
    <t>INSERIMENTO SISTEMA DI MISURA</t>
  </si>
  <si>
    <t>1=MONOFASE - 2=TRIFASE ARON - 3=TRIFASE 3 FILI - 4=TRIFASE 4 FILI</t>
  </si>
  <si>
    <t>Tipo inserzione contatore campione</t>
  </si>
  <si>
    <t>INSERIMENTO CONTATORE CAMPIONE</t>
  </si>
  <si>
    <t>Punto di misura correnti</t>
  </si>
  <si>
    <t>POSIZIONE RILEVAZIONE CORRENTI</t>
  </si>
  <si>
    <t>1=PRIMARIO - 2=SECONDARIO</t>
  </si>
  <si>
    <t>Alfanumerico, minimo 1, massimo 200 caratteri</t>
  </si>
  <si>
    <t>Alfanumerico, minimo 1, massimo 100 caratteri.
Se non presente codice accisa il presente campo è da compilare</t>
  </si>
  <si>
    <t xml:space="preserve">Alfanumerico, minimo 1, massimo 50 caratteri </t>
  </si>
  <si>
    <t>Coordinate GPS</t>
  </si>
  <si>
    <t>COORDINATE GPS IMPIANTO</t>
  </si>
  <si>
    <t>41°53'24''N, 12°29'32,6''E</t>
  </si>
  <si>
    <t>DATO DA ASSOCIARE UNIVOCAMENTE AL CODICE ACCISA, QUINDI DOVRA' COMPARIRE NELLA SCHERMATA DOVE COMPARIRA' IL CODICE ACCISA</t>
  </si>
  <si>
    <t>DATI TIPICI CERTIFICATO C3</t>
  </si>
  <si>
    <t>VEDI NOTA CELLA A DX</t>
  </si>
  <si>
    <t>Note</t>
  </si>
  <si>
    <t>CAMPO NOTE GENERALI INERENTI ISPEZIONE</t>
  </si>
  <si>
    <t>123XYZ</t>
  </si>
  <si>
    <t>CODIFICA CERTIFICATO</t>
  </si>
  <si>
    <t>C2</t>
  </si>
  <si>
    <t>Alfanumerico, se valorizzato obbligo 9 caratteri</t>
  </si>
  <si>
    <t>Alfanumerico 2 caratteri.
Se non presente codice accisa il presente campo è da compilare</t>
  </si>
  <si>
    <t>U.M. costante intero gruppo:</t>
  </si>
  <si>
    <t>U.M. COSTANTE INTERO GRUPPO</t>
  </si>
  <si>
    <t>Cristiano eliminare spazi in eccesso tra 10000 e impulsi kWh</t>
  </si>
  <si>
    <t>Cristiano creare sorgente</t>
  </si>
  <si>
    <t>-R-</t>
  </si>
  <si>
    <t>-T-</t>
  </si>
  <si>
    <t>02347590982</t>
  </si>
  <si>
    <t>CP200077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</si>
</sst>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
    <numFmt numFmtId="165" formatCode="0.0%"/>
    <numFmt numFmtId="166" formatCode="0.0000%"/>
    <numFmt numFmtId="167" formatCode="0.000000%"/>
    <numFmt numFmtId="168" formatCode="0.00000000"/>
    <numFmt numFmtId="169" formatCode="0.0000"/>
    <numFmt numFmtId="170" formatCode="0.0000000%"/>
    <numFmt numFmtId="171" formatCode="0.00000%"/>
    <numFmt numFmtId="172" formatCode="0.000"/>
    <numFmt numFmtId="173" formatCode="0.0"/>
    <numFmt numFmtId="174" formatCode="0.00000"/>
    <numFmt numFmtId="175" formatCode="h:mm;@"/>
    <numFmt numFmtId="176" formatCode="0.000000"/>
    <numFmt numFmtId="177" formatCode="yyyy\-mm\-dd;@"/>
    <numFmt numFmtId="178" formatCode="[$-F400]h:mm:ss\ AM/PM"/>
  </numFmts>
  <fonts count="74" x14ac:knownFonts="1">
    <font>
      <sz val="11"/>
      <color theme="1"/>
      <name val="Calibri"/>
      <family val="2"/>
      <scheme val="minor"/>
    </font>
    <font>
      <sz val="11"/>
      <color theme="1"/>
      <name val="Calibri"/>
      <family val="2"/>
      <scheme val="minor"/>
    </font>
    <font>
      <b/>
      <sz val="11"/>
      <color theme="1"/>
      <name val="Calibri"/>
      <family val="2"/>
      <scheme val="minor"/>
    </font>
    <font>
      <vertAlign val="subscript"/>
      <sz val="11"/>
      <color theme="1"/>
      <name val="Calibri"/>
      <family val="2"/>
      <scheme val="minor"/>
    </font>
    <font>
      <sz val="10"/>
      <name val="Arial"/>
      <family val="2"/>
    </font>
    <font>
      <sz val="10"/>
      <name val="Arial"/>
      <family val="2"/>
    </font>
    <font>
      <b/>
      <sz val="10"/>
      <name val="Arial"/>
      <family val="2"/>
    </font>
    <font>
      <vertAlign val="subscript"/>
      <sz val="10"/>
      <name val="Arial"/>
      <family val="2"/>
    </font>
    <font>
      <b/>
      <sz val="14"/>
      <color theme="1"/>
      <name val="Calibri"/>
      <family val="2"/>
      <scheme val="minor"/>
    </font>
    <font>
      <sz val="9"/>
      <color indexed="81"/>
      <name val="Tahoma"/>
      <family val="2"/>
    </font>
    <font>
      <b/>
      <sz val="9"/>
      <color indexed="81"/>
      <name val="Tahoma"/>
      <family val="2"/>
    </font>
    <font>
      <b/>
      <sz val="16"/>
      <color theme="1"/>
      <name val="Calibri"/>
      <family val="2"/>
      <scheme val="minor"/>
    </font>
    <font>
      <b/>
      <sz val="20"/>
      <name val="Times New Roman"/>
      <family val="1"/>
    </font>
    <font>
      <sz val="16"/>
      <name val="Times New Roman"/>
      <family val="1"/>
    </font>
    <font>
      <b/>
      <sz val="10"/>
      <name val="Times New Roman"/>
      <family val="1"/>
    </font>
    <font>
      <sz val="10"/>
      <name val="Times New Roman"/>
      <family val="1"/>
    </font>
    <font>
      <sz val="11"/>
      <color rgb="FFFF0000"/>
      <name val="Calibri"/>
      <family val="2"/>
      <scheme val="minor"/>
    </font>
    <font>
      <sz val="11"/>
      <color rgb="FF0070C0"/>
      <name val="Calibri"/>
      <family val="2"/>
      <scheme val="minor"/>
    </font>
    <font>
      <sz val="11"/>
      <color rgb="FF006600"/>
      <name val="Calibri"/>
      <family val="2"/>
      <scheme val="minor"/>
    </font>
    <font>
      <sz val="14"/>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b/>
      <sz val="10"/>
      <color theme="1"/>
      <name val="Calibri"/>
      <family val="2"/>
      <scheme val="minor"/>
    </font>
    <font>
      <b/>
      <i/>
      <sz val="11"/>
      <color theme="1"/>
      <name val="Calibri"/>
      <family val="2"/>
      <scheme val="minor"/>
    </font>
    <font>
      <sz val="9"/>
      <color theme="1"/>
      <name val="Calibri"/>
      <family val="2"/>
      <scheme val="minor"/>
    </font>
    <font>
      <sz val="11"/>
      <color rgb="FF00B050"/>
      <name val="Calibri"/>
      <family val="2"/>
      <scheme val="minor"/>
    </font>
    <font>
      <sz val="11"/>
      <color theme="1"/>
      <name val="Calibri"/>
      <family val="2"/>
    </font>
    <font>
      <sz val="11"/>
      <color theme="1"/>
      <name val="Arial"/>
      <family val="2"/>
    </font>
    <font>
      <b/>
      <sz val="28"/>
      <color theme="1"/>
      <name val="Calibri"/>
      <family val="2"/>
      <scheme val="minor"/>
    </font>
    <font>
      <b/>
      <sz val="12"/>
      <color theme="1"/>
      <name val="Calibri"/>
      <family val="2"/>
      <scheme val="minor"/>
    </font>
    <font>
      <sz val="11"/>
      <color theme="3" tint="0.39997558519241921"/>
      <name val="Calibri"/>
      <family val="2"/>
      <scheme val="minor"/>
    </font>
    <font>
      <u/>
      <sz val="9"/>
      <color theme="1"/>
      <name val="Calibri"/>
      <family val="2"/>
      <scheme val="minor"/>
    </font>
    <font>
      <b/>
      <i/>
      <u/>
      <sz val="10"/>
      <name val="Arial"/>
      <family val="2"/>
    </font>
    <font>
      <b/>
      <i/>
      <sz val="10"/>
      <name val="Arial"/>
      <family val="2"/>
    </font>
    <font>
      <sz val="8"/>
      <name val="Arial"/>
      <family val="2"/>
    </font>
    <font>
      <b/>
      <i/>
      <sz val="8"/>
      <name val="Arial"/>
      <family val="2"/>
    </font>
    <font>
      <b/>
      <i/>
      <u/>
      <sz val="14"/>
      <name val="Arial"/>
      <family val="2"/>
    </font>
    <font>
      <i/>
      <u/>
      <sz val="8"/>
      <name val="Arial"/>
      <family val="2"/>
    </font>
    <font>
      <i/>
      <sz val="8"/>
      <name val="Arial"/>
      <family val="2"/>
    </font>
    <font>
      <b/>
      <sz val="8"/>
      <name val="Wingdings"/>
      <charset val="2"/>
    </font>
    <font>
      <b/>
      <sz val="8"/>
      <name val="Arial"/>
      <family val="2"/>
    </font>
    <font>
      <b/>
      <i/>
      <u/>
      <sz val="8"/>
      <name val="Arial"/>
      <family val="2"/>
    </font>
    <font>
      <sz val="8"/>
      <name val="Wingdings"/>
      <charset val="2"/>
    </font>
    <font>
      <sz val="8"/>
      <name val="Calibri"/>
      <family val="2"/>
    </font>
    <font>
      <vertAlign val="subscript"/>
      <sz val="8"/>
      <name val="Arial"/>
      <family val="2"/>
    </font>
    <font>
      <i/>
      <vertAlign val="subscript"/>
      <sz val="8"/>
      <name val="Arial"/>
      <family val="2"/>
    </font>
    <font>
      <b/>
      <sz val="14"/>
      <name val="Arial"/>
      <family val="2"/>
    </font>
    <font>
      <b/>
      <sz val="9"/>
      <name val="Arial"/>
      <family val="2"/>
    </font>
    <font>
      <b/>
      <sz val="11"/>
      <name val="Arial"/>
      <family val="2"/>
    </font>
    <font>
      <sz val="8"/>
      <color theme="1"/>
      <name val="Calibri"/>
      <family val="2"/>
      <scheme val="minor"/>
    </font>
    <font>
      <b/>
      <sz val="22"/>
      <name val="Arial"/>
      <family val="2"/>
    </font>
    <font>
      <b/>
      <sz val="20"/>
      <color theme="1"/>
      <name val="Calibri"/>
      <family val="2"/>
      <scheme val="minor"/>
    </font>
    <font>
      <b/>
      <sz val="18"/>
      <name val="Arial"/>
      <family val="2"/>
    </font>
    <font>
      <b/>
      <sz val="12"/>
      <name val="Arial"/>
      <family val="2"/>
    </font>
    <font>
      <b/>
      <sz val="16"/>
      <name val="Arial"/>
      <family val="2"/>
    </font>
    <font>
      <b/>
      <i/>
      <sz val="11"/>
      <name val="Arial"/>
      <family val="2"/>
    </font>
    <font>
      <b/>
      <sz val="11"/>
      <name val="Times New Roman"/>
      <family val="1"/>
    </font>
    <font>
      <b/>
      <sz val="14"/>
      <name val="Times New Roman"/>
      <family val="1"/>
    </font>
    <font>
      <sz val="11"/>
      <color indexed="8"/>
      <name val="Calibri"/>
      <family val="2"/>
    </font>
    <font>
      <b/>
      <sz val="8"/>
      <color theme="1"/>
      <name val="Calibri"/>
      <family val="2"/>
      <scheme val="minor"/>
    </font>
    <font>
      <sz val="8"/>
      <name val="Calibri"/>
      <family val="2"/>
      <scheme val="minor"/>
    </font>
    <font>
      <b/>
      <sz val="14"/>
      <color indexed="8"/>
      <name val="Calibri"/>
      <family val="2"/>
    </font>
    <font>
      <b/>
      <sz val="14"/>
      <color rgb="FF0000FF"/>
      <name val="Calibri"/>
      <family val="2"/>
    </font>
    <font>
      <b/>
      <sz val="14"/>
      <name val="Calibri"/>
      <family val="2"/>
    </font>
    <font>
      <b/>
      <sz val="11"/>
      <name val="Calibri"/>
      <family val="2"/>
    </font>
    <font>
      <sz val="11"/>
      <name val="Calibri"/>
      <family val="2"/>
    </font>
    <font>
      <b/>
      <sz val="11"/>
      <color rgb="FF0000FF"/>
      <name val="Calibri"/>
      <family val="2"/>
    </font>
    <font>
      <b/>
      <sz val="11"/>
      <color indexed="8"/>
      <name val="Calibri"/>
      <family val="2"/>
    </font>
    <font>
      <sz val="11"/>
      <color indexed="8"/>
      <name val="Calibri"/>
      <family val="2"/>
    </font>
    <font>
      <b/>
      <sz val="11"/>
      <color rgb="FF000000"/>
      <name val="Calibri"/>
      <family val="2"/>
    </font>
    <font>
      <b/>
      <sz val="11"/>
      <color rgb="FFFF0000"/>
      <name val="Calibri"/>
      <family val="2"/>
    </font>
    <font>
      <b/>
      <sz val="11"/>
      <color rgb="FFFF0000"/>
      <name val="Calibri"/>
      <family val="2"/>
      <scheme val="minor"/>
    </font>
    <font>
      <b/>
      <sz val="11"/>
      <color rgb="FF00B05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2"/>
        <bgColor indexed="64"/>
      </patternFill>
    </fill>
    <fill>
      <patternFill patternType="solid">
        <fgColor theme="9" tint="0.39994506668294322"/>
        <bgColor indexed="64"/>
      </patternFill>
    </fill>
    <fill>
      <patternFill patternType="solid">
        <fgColor rgb="FF0066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99FF99"/>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3" tint="0.7999816888943144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medium">
        <color indexed="64"/>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style="medium">
        <color indexed="64"/>
      </right>
      <top/>
      <bottom/>
      <diagonal/>
    </border>
    <border>
      <left/>
      <right style="medium">
        <color indexed="64"/>
      </right>
      <top style="medium">
        <color indexed="64"/>
      </top>
      <bottom style="thin">
        <color indexed="8"/>
      </bottom>
      <diagonal/>
    </border>
    <border>
      <left/>
      <right style="thin">
        <color indexed="8"/>
      </right>
      <top/>
      <bottom style="medium">
        <color indexed="64"/>
      </bottom>
      <diagonal/>
    </border>
    <border>
      <left/>
      <right style="medium">
        <color indexed="64"/>
      </right>
      <top style="thin">
        <color indexed="8"/>
      </top>
      <bottom/>
      <diagonal/>
    </border>
    <border>
      <left/>
      <right style="medium">
        <color indexed="64"/>
      </right>
      <top style="thin">
        <color indexed="8"/>
      </top>
      <bottom style="thin">
        <color indexed="8"/>
      </bottom>
      <diagonal/>
    </border>
  </borders>
  <cellStyleXfs count="5">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0" fontId="59" fillId="0" borderId="0" applyNumberFormat="0" applyFill="0" applyBorder="0" applyProtection="0"/>
  </cellStyleXfs>
  <cellXfs count="1797">
    <xf numFmtId="0" fontId="0" fillId="0" borderId="0" xfId="0"/>
    <xf numFmtId="0" fontId="0" fillId="0" borderId="0" xfId="0" applyProtection="1">
      <protection hidden="1"/>
    </xf>
    <xf numFmtId="0" fontId="0" fillId="0" borderId="1" xfId="0" applyFill="1" applyBorder="1" applyProtection="1">
      <protection hidden="1"/>
    </xf>
    <xf numFmtId="0" fontId="0" fillId="0" borderId="0" xfId="0" applyFill="1" applyProtection="1">
      <protection hidden="1"/>
    </xf>
    <xf numFmtId="0" fontId="0" fillId="0" borderId="1" xfId="0" applyBorder="1" applyAlignment="1" applyProtection="1">
      <protection hidden="1"/>
    </xf>
    <xf numFmtId="0" fontId="0" fillId="0" borderId="0" xfId="0" applyFill="1" applyBorder="1" applyProtection="1">
      <protection hidden="1"/>
    </xf>
    <xf numFmtId="0" fontId="0" fillId="0" borderId="1" xfId="0" applyFill="1" applyBorder="1" applyAlignment="1" applyProtection="1">
      <protection hidden="1"/>
    </xf>
    <xf numFmtId="0" fontId="0" fillId="0" borderId="0" xfId="0" applyBorder="1" applyProtection="1">
      <protection hidden="1"/>
    </xf>
    <xf numFmtId="0" fontId="0" fillId="0" borderId="7" xfId="0" applyFill="1" applyBorder="1" applyProtection="1">
      <protection hidden="1"/>
    </xf>
    <xf numFmtId="0" fontId="0" fillId="0" borderId="1" xfId="0" applyBorder="1" applyProtection="1">
      <protection hidden="1"/>
    </xf>
    <xf numFmtId="49" fontId="0" fillId="0" borderId="0" xfId="0" applyNumberFormat="1" applyProtection="1">
      <protection hidden="1"/>
    </xf>
    <xf numFmtId="14" fontId="0" fillId="0" borderId="0" xfId="0" applyNumberFormat="1" applyProtection="1">
      <protection hidden="1"/>
    </xf>
    <xf numFmtId="0" fontId="0" fillId="0"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horizontal="left"/>
      <protection hidden="1"/>
    </xf>
    <xf numFmtId="0" fontId="4" fillId="0" borderId="0" xfId="2" applyProtection="1">
      <protection hidden="1"/>
    </xf>
    <xf numFmtId="0" fontId="0" fillId="0" borderId="1" xfId="0" applyBorder="1" applyAlignment="1" applyProtection="1">
      <alignment horizontal="right"/>
      <protection hidden="1"/>
    </xf>
    <xf numFmtId="0" fontId="0" fillId="0" borderId="39" xfId="0" applyBorder="1" applyProtection="1">
      <protection hidden="1"/>
    </xf>
    <xf numFmtId="0" fontId="4" fillId="0" borderId="0" xfId="2" applyBorder="1" applyProtection="1">
      <protection hidden="1"/>
    </xf>
    <xf numFmtId="0" fontId="0" fillId="0" borderId="17" xfId="0" applyBorder="1" applyProtection="1">
      <protection hidden="1"/>
    </xf>
    <xf numFmtId="0" fontId="4" fillId="0" borderId="2" xfId="2" applyBorder="1" applyProtection="1">
      <protection hidden="1"/>
    </xf>
    <xf numFmtId="0" fontId="0" fillId="0" borderId="18" xfId="0" applyBorder="1" applyAlignment="1" applyProtection="1">
      <alignment horizontal="center"/>
      <protection hidden="1"/>
    </xf>
    <xf numFmtId="0" fontId="4" fillId="0" borderId="1" xfId="2" applyBorder="1" applyAlignment="1" applyProtection="1">
      <alignment horizontal="center" vertical="center" wrapText="1"/>
      <protection hidden="1"/>
    </xf>
    <xf numFmtId="0" fontId="4" fillId="0" borderId="18" xfId="2" applyBorder="1" applyAlignment="1" applyProtection="1">
      <alignment horizontal="center" vertical="center" wrapText="1"/>
      <protection hidden="1"/>
    </xf>
    <xf numFmtId="0" fontId="4" fillId="0" borderId="1" xfId="2" applyBorder="1" applyProtection="1">
      <protection hidden="1"/>
    </xf>
    <xf numFmtId="164" fontId="0" fillId="0" borderId="1" xfId="0" applyNumberFormat="1" applyBorder="1" applyProtection="1">
      <protection hidden="1"/>
    </xf>
    <xf numFmtId="0" fontId="0" fillId="0" borderId="2" xfId="0" applyFill="1" applyBorder="1" applyAlignment="1" applyProtection="1">
      <protection hidden="1"/>
    </xf>
    <xf numFmtId="164" fontId="0" fillId="0" borderId="1" xfId="0" applyNumberFormat="1" applyFill="1" applyBorder="1" applyProtection="1">
      <protection hidden="1"/>
    </xf>
    <xf numFmtId="0" fontId="0" fillId="0" borderId="0" xfId="0" applyBorder="1" applyAlignment="1" applyProtection="1">
      <alignment horizontal="center" vertical="center"/>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4" fillId="0" borderId="1" xfId="2" applyBorder="1" applyAlignment="1" applyProtection="1">
      <alignment horizontal="center"/>
      <protection hidden="1"/>
    </xf>
    <xf numFmtId="0" fontId="0" fillId="0" borderId="18" xfId="0" applyBorder="1" applyProtection="1">
      <protection hidden="1"/>
    </xf>
    <xf numFmtId="0" fontId="0" fillId="0" borderId="21" xfId="0" applyBorder="1" applyAlignment="1" applyProtection="1">
      <alignment horizontal="center"/>
      <protection hidden="1"/>
    </xf>
    <xf numFmtId="0" fontId="8" fillId="0" borderId="1" xfId="0" applyFont="1" applyBorder="1" applyProtection="1">
      <protection hidden="1"/>
    </xf>
    <xf numFmtId="0" fontId="8" fillId="0" borderId="0" xfId="0" applyFont="1" applyBorder="1" applyProtection="1">
      <protection hidden="1"/>
    </xf>
    <xf numFmtId="0" fontId="0" fillId="0" borderId="1" xfId="0" applyFill="1" applyBorder="1" applyAlignment="1" applyProtection="1">
      <alignment horizontal="left"/>
      <protection hidden="1"/>
    </xf>
    <xf numFmtId="0" fontId="0" fillId="0" borderId="0" xfId="0" applyAlignment="1" applyProtection="1">
      <alignment horizontal="center"/>
      <protection hidden="1"/>
    </xf>
    <xf numFmtId="0" fontId="0" fillId="5" borderId="1" xfId="0" applyFill="1" applyBorder="1" applyAlignment="1" applyProtection="1">
      <alignment horizontal="center"/>
      <protection hidden="1"/>
    </xf>
    <xf numFmtId="0" fontId="0" fillId="5" borderId="1" xfId="0" applyFill="1" applyBorder="1" applyProtection="1">
      <protection hidden="1"/>
    </xf>
    <xf numFmtId="0" fontId="0" fillId="5" borderId="1" xfId="0" applyNumberFormat="1" applyFill="1" applyBorder="1" applyProtection="1">
      <protection hidden="1"/>
    </xf>
    <xf numFmtId="165" fontId="0" fillId="5" borderId="1" xfId="1" applyNumberFormat="1" applyFont="1" applyFill="1" applyBorder="1" applyProtection="1">
      <protection hidden="1"/>
    </xf>
    <xf numFmtId="0" fontId="0" fillId="5" borderId="1" xfId="0" applyNumberFormat="1" applyFill="1" applyBorder="1" applyAlignment="1" applyProtection="1">
      <alignment horizontal="center"/>
      <protection hidden="1"/>
    </xf>
    <xf numFmtId="165" fontId="26" fillId="0" borderId="0" xfId="1" applyNumberFormat="1" applyFont="1" applyBorder="1" applyProtection="1">
      <protection hidden="1"/>
    </xf>
    <xf numFmtId="0" fontId="14" fillId="0" borderId="1"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5" fillId="0" borderId="0" xfId="0" applyFont="1" applyProtection="1">
      <protection hidden="1"/>
    </xf>
    <xf numFmtId="14" fontId="14" fillId="0" borderId="0" xfId="0" applyNumberFormat="1" applyFont="1" applyBorder="1" applyAlignment="1" applyProtection="1">
      <alignment horizontal="center" vertical="center" wrapText="1"/>
      <protection hidden="1"/>
    </xf>
    <xf numFmtId="0" fontId="2" fillId="0" borderId="18" xfId="0" applyFont="1" applyBorder="1" applyAlignment="1" applyProtection="1">
      <alignment horizontal="center"/>
      <protection hidden="1"/>
    </xf>
    <xf numFmtId="49" fontId="2" fillId="0" borderId="18" xfId="0" applyNumberFormat="1" applyFont="1" applyBorder="1" applyAlignment="1" applyProtection="1">
      <alignment horizontal="center"/>
      <protection hidden="1"/>
    </xf>
    <xf numFmtId="0" fontId="0" fillId="0" borderId="7" xfId="0" applyBorder="1" applyAlignment="1" applyProtection="1">
      <alignment horizontal="center"/>
      <protection hidden="1"/>
    </xf>
    <xf numFmtId="0" fontId="0" fillId="0" borderId="24" xfId="0" applyBorder="1" applyAlignment="1" applyProtection="1">
      <alignment horizontal="center"/>
      <protection hidden="1"/>
    </xf>
    <xf numFmtId="0" fontId="2" fillId="0" borderId="30" xfId="0" applyFont="1" applyBorder="1" applyAlignment="1" applyProtection="1">
      <alignment horizontal="center"/>
      <protection hidden="1"/>
    </xf>
    <xf numFmtId="0" fontId="4" fillId="0" borderId="27" xfId="2" applyBorder="1" applyAlignment="1" applyProtection="1">
      <alignment horizontal="center" vertical="center" wrapText="1"/>
      <protection hidden="1"/>
    </xf>
    <xf numFmtId="0" fontId="4" fillId="0" borderId="33" xfId="2" applyBorder="1" applyAlignment="1" applyProtection="1">
      <alignment horizontal="center" vertical="center" wrapText="1"/>
      <protection hidden="1"/>
    </xf>
    <xf numFmtId="0" fontId="4" fillId="0" borderId="28" xfId="2" applyBorder="1" applyAlignment="1" applyProtection="1">
      <alignment horizontal="center" vertical="center" wrapText="1"/>
      <protection hidden="1"/>
    </xf>
    <xf numFmtId="0" fontId="0" fillId="0" borderId="17" xfId="0" applyBorder="1" applyAlignment="1" applyProtection="1">
      <protection hidden="1"/>
    </xf>
    <xf numFmtId="0" fontId="0" fillId="0" borderId="17" xfId="0" applyFill="1" applyBorder="1" applyAlignment="1" applyProtection="1">
      <protection hidden="1"/>
    </xf>
    <xf numFmtId="9" fontId="0" fillId="0" borderId="31" xfId="0" applyNumberFormat="1" applyBorder="1" applyProtection="1">
      <protection hidden="1"/>
    </xf>
    <xf numFmtId="171" fontId="0" fillId="0" borderId="23" xfId="0" applyNumberFormat="1" applyBorder="1" applyProtection="1">
      <protection hidden="1"/>
    </xf>
    <xf numFmtId="0" fontId="0" fillId="0" borderId="12" xfId="1" applyNumberFormat="1" applyFont="1" applyBorder="1" applyProtection="1">
      <protection hidden="1"/>
    </xf>
    <xf numFmtId="171" fontId="0" fillId="0" borderId="14" xfId="0" applyNumberFormat="1" applyBorder="1" applyProtection="1">
      <protection hidden="1"/>
    </xf>
    <xf numFmtId="0" fontId="0" fillId="0" borderId="16" xfId="1" applyNumberFormat="1" applyFont="1" applyBorder="1" applyProtection="1">
      <protection hidden="1"/>
    </xf>
    <xf numFmtId="0" fontId="0" fillId="0" borderId="24" xfId="1" applyNumberFormat="1" applyFont="1" applyBorder="1" applyProtection="1">
      <protection hidden="1"/>
    </xf>
    <xf numFmtId="9" fontId="0" fillId="0" borderId="19" xfId="0" applyNumberFormat="1" applyBorder="1" applyProtection="1">
      <protection hidden="1"/>
    </xf>
    <xf numFmtId="171" fontId="0" fillId="0" borderId="17" xfId="0" applyNumberFormat="1" applyBorder="1" applyProtection="1">
      <protection hidden="1"/>
    </xf>
    <xf numFmtId="0" fontId="0" fillId="0" borderId="2" xfId="1" applyNumberFormat="1" applyFont="1" applyBorder="1" applyProtection="1">
      <protection hidden="1"/>
    </xf>
    <xf numFmtId="0" fontId="0" fillId="0" borderId="18" xfId="1" applyNumberFormat="1" applyFont="1" applyBorder="1" applyProtection="1">
      <protection hidden="1"/>
    </xf>
    <xf numFmtId="0" fontId="0" fillId="0" borderId="20" xfId="0" applyBorder="1" applyAlignment="1" applyProtection="1">
      <protection hidden="1"/>
    </xf>
    <xf numFmtId="0" fontId="2" fillId="0" borderId="22" xfId="0" applyFont="1" applyBorder="1" applyAlignment="1" applyProtection="1">
      <alignment horizontal="center"/>
      <protection hidden="1"/>
    </xf>
    <xf numFmtId="9" fontId="0" fillId="0" borderId="32" xfId="0" applyNumberFormat="1" applyBorder="1" applyProtection="1">
      <protection hidden="1"/>
    </xf>
    <xf numFmtId="171" fontId="0" fillId="0" borderId="20" xfId="0" applyNumberFormat="1" applyBorder="1" applyProtection="1">
      <protection hidden="1"/>
    </xf>
    <xf numFmtId="0" fontId="0" fillId="0" borderId="25" xfId="1" applyNumberFormat="1" applyFont="1" applyBorder="1" applyProtection="1">
      <protection hidden="1"/>
    </xf>
    <xf numFmtId="0" fontId="0" fillId="0" borderId="22" xfId="1" applyNumberFormat="1" applyFont="1" applyBorder="1" applyProtection="1">
      <protection hidden="1"/>
    </xf>
    <xf numFmtId="0" fontId="0" fillId="0" borderId="20" xfId="0" applyFill="1" applyBorder="1" applyAlignment="1" applyProtection="1">
      <protection hidden="1"/>
    </xf>
    <xf numFmtId="0" fontId="0" fillId="0" borderId="22" xfId="0" applyBorder="1" applyAlignment="1" applyProtection="1">
      <alignment horizontal="center"/>
      <protection hidden="1"/>
    </xf>
    <xf numFmtId="0" fontId="2" fillId="0" borderId="63" xfId="0" applyFont="1" applyBorder="1" applyAlignment="1" applyProtection="1">
      <alignment horizontal="center"/>
      <protection hidden="1"/>
    </xf>
    <xf numFmtId="0" fontId="0" fillId="0" borderId="5" xfId="0" applyBorder="1" applyAlignment="1" applyProtection="1">
      <alignment horizontal="center"/>
      <protection hidden="1"/>
    </xf>
    <xf numFmtId="0" fontId="0" fillId="0" borderId="62"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9" fontId="0" fillId="0" borderId="67" xfId="0" applyNumberFormat="1" applyBorder="1" applyProtection="1">
      <protection hidden="1"/>
    </xf>
    <xf numFmtId="9" fontId="0" fillId="0" borderId="68" xfId="0" applyNumberFormat="1" applyBorder="1" applyProtection="1">
      <protection hidden="1"/>
    </xf>
    <xf numFmtId="0" fontId="2" fillId="0" borderId="46" xfId="0" applyFont="1" applyBorder="1" applyAlignment="1" applyProtection="1">
      <alignment horizontal="center"/>
      <protection hidden="1"/>
    </xf>
    <xf numFmtId="0" fontId="2" fillId="0" borderId="6" xfId="0" applyFont="1" applyBorder="1" applyAlignment="1" applyProtection="1">
      <alignment horizontal="center"/>
      <protection hidden="1"/>
    </xf>
    <xf numFmtId="0" fontId="2" fillId="0" borderId="66" xfId="0" applyFont="1" applyBorder="1" applyAlignment="1" applyProtection="1">
      <alignment horizontal="center"/>
      <protection hidden="1"/>
    </xf>
    <xf numFmtId="0" fontId="0" fillId="0" borderId="50" xfId="0" applyBorder="1" applyAlignment="1" applyProtection="1">
      <alignment horizontal="center"/>
      <protection hidden="1"/>
    </xf>
    <xf numFmtId="9" fontId="0" fillId="0" borderId="69" xfId="0" applyNumberFormat="1" applyBorder="1" applyProtection="1">
      <protection hidden="1"/>
    </xf>
    <xf numFmtId="171" fontId="0" fillId="0" borderId="0" xfId="0" applyNumberFormat="1" applyBorder="1" applyProtection="1">
      <protection hidden="1"/>
    </xf>
    <xf numFmtId="0" fontId="2" fillId="0" borderId="16" xfId="0" applyFont="1" applyBorder="1" applyAlignment="1" applyProtection="1">
      <alignment horizontal="center"/>
      <protection hidden="1"/>
    </xf>
    <xf numFmtId="166" fontId="0" fillId="0" borderId="15" xfId="1" applyNumberFormat="1" applyFont="1" applyBorder="1" applyProtection="1">
      <protection hidden="1"/>
    </xf>
    <xf numFmtId="166" fontId="0" fillId="0" borderId="16" xfId="1" applyNumberFormat="1" applyFont="1" applyBorder="1" applyProtection="1">
      <protection hidden="1"/>
    </xf>
    <xf numFmtId="0" fontId="20" fillId="0" borderId="5" xfId="0" applyFont="1" applyBorder="1" applyAlignment="1" applyProtection="1">
      <alignment horizontal="center"/>
      <protection hidden="1"/>
    </xf>
    <xf numFmtId="0" fontId="0" fillId="0" borderId="5" xfId="0" applyFont="1" applyBorder="1" applyAlignment="1" applyProtection="1">
      <alignment horizontal="center"/>
      <protection hidden="1"/>
    </xf>
    <xf numFmtId="0" fontId="0" fillId="0" borderId="62" xfId="0" applyFont="1" applyBorder="1" applyAlignment="1" applyProtection="1">
      <alignment horizontal="center"/>
      <protection hidden="1"/>
    </xf>
    <xf numFmtId="0" fontId="0" fillId="0" borderId="55" xfId="0" applyBorder="1" applyAlignment="1" applyProtection="1">
      <alignment horizontal="center"/>
      <protection hidden="1"/>
    </xf>
    <xf numFmtId="166" fontId="0" fillId="0" borderId="1" xfId="1" applyNumberFormat="1" applyFont="1" applyBorder="1" applyProtection="1">
      <protection hidden="1"/>
    </xf>
    <xf numFmtId="166" fontId="0" fillId="0" borderId="18" xfId="1" applyNumberFormat="1" applyFont="1" applyBorder="1" applyProtection="1">
      <protection hidden="1"/>
    </xf>
    <xf numFmtId="166" fontId="0" fillId="0" borderId="21" xfId="1" applyNumberFormat="1" applyFont="1" applyBorder="1" applyProtection="1">
      <protection hidden="1"/>
    </xf>
    <xf numFmtId="166" fontId="0" fillId="0" borderId="22" xfId="1" applyNumberFormat="1" applyFont="1" applyBorder="1" applyProtection="1">
      <protection hidden="1"/>
    </xf>
    <xf numFmtId="0" fontId="30" fillId="0" borderId="0" xfId="0" applyFont="1" applyProtection="1">
      <protection hidden="1"/>
    </xf>
    <xf numFmtId="0" fontId="2" fillId="0" borderId="1" xfId="0" applyFont="1" applyFill="1" applyBorder="1" applyAlignment="1" applyProtection="1">
      <alignment horizontal="left"/>
      <protection hidden="1"/>
    </xf>
    <xf numFmtId="0" fontId="2" fillId="0" borderId="1" xfId="0" applyFont="1" applyBorder="1" applyProtection="1">
      <protection hidden="1"/>
    </xf>
    <xf numFmtId="0" fontId="2" fillId="0" borderId="1" xfId="0" applyFont="1" applyFill="1" applyBorder="1" applyProtection="1">
      <protection hidden="1"/>
    </xf>
    <xf numFmtId="2" fontId="0" fillId="0" borderId="1" xfId="0" applyNumberFormat="1" applyFill="1" applyBorder="1" applyAlignment="1" applyProtection="1">
      <alignment horizontal="center"/>
      <protection hidden="1"/>
    </xf>
    <xf numFmtId="0" fontId="2" fillId="0" borderId="1" xfId="0" applyFont="1" applyBorder="1" applyAlignment="1" applyProtection="1">
      <alignment horizontal="center"/>
      <protection hidden="1"/>
    </xf>
    <xf numFmtId="0" fontId="2" fillId="0" borderId="1" xfId="0" applyFont="1" applyFill="1" applyBorder="1" applyAlignment="1" applyProtection="1">
      <alignment horizontal="center"/>
      <protection hidden="1"/>
    </xf>
    <xf numFmtId="9" fontId="0" fillId="0" borderId="1" xfId="1" applyFont="1" applyFill="1" applyBorder="1" applyAlignment="1" applyProtection="1">
      <alignment horizontal="center"/>
      <protection hidden="1"/>
    </xf>
    <xf numFmtId="0" fontId="0" fillId="0" borderId="1" xfId="0" applyNumberFormat="1" applyFill="1" applyBorder="1" applyAlignment="1" applyProtection="1">
      <alignment horizontal="center"/>
      <protection hidden="1"/>
    </xf>
    <xf numFmtId="0" fontId="2" fillId="0" borderId="0" xfId="0" applyFont="1" applyAlignment="1" applyProtection="1">
      <protection hidden="1"/>
    </xf>
    <xf numFmtId="0" fontId="2" fillId="0" borderId="0" xfId="0" applyFont="1" applyProtection="1">
      <protection hidden="1"/>
    </xf>
    <xf numFmtId="0" fontId="0" fillId="0" borderId="0" xfId="0" applyFont="1" applyAlignment="1" applyProtection="1">
      <protection hidden="1"/>
    </xf>
    <xf numFmtId="0" fontId="0" fillId="0" borderId="33" xfId="0" applyBorder="1" applyProtection="1">
      <protection hidden="1"/>
    </xf>
    <xf numFmtId="0" fontId="0" fillId="0" borderId="10" xfId="0" applyBorder="1" applyProtection="1">
      <protection hidden="1"/>
    </xf>
    <xf numFmtId="0" fontId="0" fillId="0" borderId="61" xfId="0" applyBorder="1" applyProtection="1">
      <protection hidden="1"/>
    </xf>
    <xf numFmtId="0" fontId="0" fillId="0" borderId="45" xfId="0" applyBorder="1" applyProtection="1">
      <protection hidden="1"/>
    </xf>
    <xf numFmtId="0" fontId="0" fillId="0" borderId="12" xfId="0" applyBorder="1" applyAlignment="1" applyProtection="1">
      <protection hidden="1"/>
    </xf>
    <xf numFmtId="0" fontId="0" fillId="0" borderId="60" xfId="0" applyBorder="1" applyAlignment="1" applyProtection="1">
      <protection hidden="1"/>
    </xf>
    <xf numFmtId="0" fontId="21" fillId="6" borderId="14" xfId="0" applyFont="1" applyFill="1" applyBorder="1" applyAlignment="1" applyProtection="1">
      <alignment horizontal="center" vertical="center"/>
      <protection hidden="1"/>
    </xf>
    <xf numFmtId="0" fontId="20" fillId="0" borderId="17" xfId="0" applyFont="1" applyFill="1" applyBorder="1" applyAlignment="1" applyProtection="1">
      <alignment horizontal="center" vertical="center"/>
      <protection hidden="1"/>
    </xf>
    <xf numFmtId="0" fontId="20" fillId="0" borderId="20" xfId="0" applyFont="1" applyFill="1" applyBorder="1" applyAlignment="1" applyProtection="1">
      <alignment horizontal="center" vertical="center"/>
      <protection hidden="1"/>
    </xf>
    <xf numFmtId="0" fontId="0" fillId="0" borderId="0" xfId="0" applyAlignment="1" applyProtection="1">
      <protection hidden="1"/>
    </xf>
    <xf numFmtId="0" fontId="0" fillId="0" borderId="6" xfId="0" applyFill="1" applyBorder="1" applyAlignment="1" applyProtection="1">
      <alignment horizontal="right"/>
      <protection hidden="1"/>
    </xf>
    <xf numFmtId="0" fontId="0" fillId="0" borderId="4" xfId="0" applyBorder="1" applyProtection="1">
      <protection hidden="1"/>
    </xf>
    <xf numFmtId="0" fontId="0" fillId="0" borderId="7" xfId="0" applyFill="1" applyBorder="1" applyAlignment="1" applyProtection="1">
      <alignment horizontal="center"/>
      <protection hidden="1"/>
    </xf>
    <xf numFmtId="0" fontId="0" fillId="0" borderId="4" xfId="0" applyFill="1" applyBorder="1" applyProtection="1">
      <protection hidden="1"/>
    </xf>
    <xf numFmtId="9" fontId="0" fillId="0" borderId="1" xfId="0" applyNumberFormat="1" applyFill="1" applyBorder="1" applyAlignment="1" applyProtection="1">
      <alignment horizontal="center"/>
      <protection hidden="1"/>
    </xf>
    <xf numFmtId="9" fontId="0" fillId="0" borderId="0" xfId="0" applyNumberFormat="1" applyFill="1" applyBorder="1" applyAlignment="1" applyProtection="1">
      <alignment horizontal="center"/>
      <protection hidden="1"/>
    </xf>
    <xf numFmtId="171" fontId="2" fillId="0" borderId="1" xfId="0" applyNumberFormat="1" applyFont="1" applyFill="1" applyBorder="1" applyAlignment="1" applyProtection="1">
      <alignment horizontal="center"/>
      <protection hidden="1"/>
    </xf>
    <xf numFmtId="164" fontId="0" fillId="0" borderId="0" xfId="1" applyNumberFormat="1" applyFont="1" applyProtection="1">
      <protection hidden="1"/>
    </xf>
    <xf numFmtId="166" fontId="0" fillId="0" borderId="1" xfId="0" applyNumberFormat="1" applyFill="1" applyBorder="1" applyAlignment="1" applyProtection="1">
      <alignment horizontal="center"/>
      <protection hidden="1"/>
    </xf>
    <xf numFmtId="0" fontId="0" fillId="0" borderId="2" xfId="0" applyFill="1" applyBorder="1" applyProtection="1">
      <protection hidden="1"/>
    </xf>
    <xf numFmtId="0" fontId="0" fillId="0" borderId="3" xfId="0" applyBorder="1" applyProtection="1">
      <protection hidden="1"/>
    </xf>
    <xf numFmtId="166" fontId="0" fillId="0" borderId="1" xfId="1" applyNumberFormat="1" applyFont="1" applyBorder="1" applyAlignment="1" applyProtection="1">
      <alignment horizontal="center"/>
      <protection hidden="1"/>
    </xf>
    <xf numFmtId="166" fontId="0" fillId="0" borderId="0" xfId="1" applyNumberFormat="1" applyFont="1" applyBorder="1" applyAlignment="1" applyProtection="1">
      <alignment horizontal="center"/>
      <protection hidden="1"/>
    </xf>
    <xf numFmtId="10" fontId="0" fillId="0" borderId="1" xfId="0" applyNumberFormat="1" applyFill="1" applyBorder="1" applyAlignment="1" applyProtection="1">
      <alignment horizontal="center"/>
      <protection hidden="1"/>
    </xf>
    <xf numFmtId="171" fontId="2" fillId="0" borderId="1" xfId="1" applyNumberFormat="1" applyFont="1" applyFill="1" applyBorder="1" applyAlignment="1" applyProtection="1">
      <alignment horizontal="center"/>
      <protection hidden="1"/>
    </xf>
    <xf numFmtId="2" fontId="0" fillId="0" borderId="6" xfId="0" applyNumberFormat="1" applyBorder="1" applyAlignment="1" applyProtection="1">
      <alignment horizontal="center" vertical="center"/>
      <protection hidden="1"/>
    </xf>
    <xf numFmtId="164" fontId="0" fillId="0" borderId="1" xfId="0" applyNumberFormat="1" applyFill="1" applyBorder="1" applyAlignment="1" applyProtection="1">
      <alignment horizontal="center"/>
      <protection hidden="1"/>
    </xf>
    <xf numFmtId="0" fontId="0" fillId="0" borderId="9" xfId="0" applyBorder="1" applyAlignment="1" applyProtection="1">
      <alignment vertical="center" wrapText="1"/>
      <protection hidden="1"/>
    </xf>
    <xf numFmtId="0" fontId="0" fillId="0" borderId="7" xfId="0" applyBorder="1" applyProtection="1">
      <protection hidden="1"/>
    </xf>
    <xf numFmtId="171" fontId="0" fillId="0" borderId="1" xfId="1" applyNumberFormat="1" applyFont="1" applyBorder="1" applyProtection="1">
      <protection hidden="1"/>
    </xf>
    <xf numFmtId="171" fontId="0" fillId="0" borderId="1" xfId="1" applyNumberFormat="1" applyFont="1" applyFill="1" applyBorder="1" applyProtection="1">
      <protection hidden="1"/>
    </xf>
    <xf numFmtId="164" fontId="0" fillId="0" borderId="1" xfId="0" applyNumberFormat="1" applyFill="1" applyBorder="1" applyAlignment="1" applyProtection="1">
      <protection hidden="1"/>
    </xf>
    <xf numFmtId="0" fontId="0" fillId="0" borderId="4" xfId="0" applyBorder="1" applyAlignment="1" applyProtection="1">
      <alignment horizontal="right"/>
      <protection hidden="1"/>
    </xf>
    <xf numFmtId="164" fontId="2" fillId="0" borderId="1" xfId="0" applyNumberFormat="1" applyFont="1" applyFill="1" applyBorder="1" applyProtection="1">
      <protection hidden="1"/>
    </xf>
    <xf numFmtId="164" fontId="2" fillId="0" borderId="1" xfId="0" applyNumberFormat="1" applyFont="1" applyFill="1" applyBorder="1" applyAlignment="1" applyProtection="1">
      <alignment horizontal="center"/>
      <protection hidden="1"/>
    </xf>
    <xf numFmtId="164" fontId="0" fillId="0" borderId="0" xfId="0" applyNumberFormat="1" applyFill="1" applyBorder="1" applyProtection="1">
      <protection hidden="1"/>
    </xf>
    <xf numFmtId="164" fontId="0" fillId="0" borderId="1" xfId="1" applyNumberFormat="1" applyFont="1" applyBorder="1" applyProtection="1">
      <protection hidden="1"/>
    </xf>
    <xf numFmtId="10" fontId="0" fillId="0" borderId="0" xfId="1" applyNumberFormat="1" applyFont="1" applyProtection="1">
      <protection hidden="1"/>
    </xf>
    <xf numFmtId="0" fontId="0" fillId="0" borderId="5" xfId="0" applyBorder="1" applyProtection="1">
      <protection hidden="1"/>
    </xf>
    <xf numFmtId="0" fontId="0" fillId="0" borderId="14" xfId="0" applyBorder="1" applyAlignment="1" applyProtection="1">
      <protection hidden="1"/>
    </xf>
    <xf numFmtId="0" fontId="0" fillId="0" borderId="15" xfId="0" applyBorder="1" applyAlignment="1" applyProtection="1">
      <protection hidden="1"/>
    </xf>
    <xf numFmtId="0" fontId="0" fillId="0" borderId="16" xfId="0" applyBorder="1" applyAlignment="1" applyProtection="1">
      <protection hidden="1"/>
    </xf>
    <xf numFmtId="0" fontId="0" fillId="0" borderId="18" xfId="0" applyBorder="1" applyAlignment="1" applyProtection="1">
      <protection hidden="1"/>
    </xf>
    <xf numFmtId="0" fontId="0" fillId="0" borderId="2" xfId="0" applyBorder="1" applyProtection="1">
      <protection hidden="1"/>
    </xf>
    <xf numFmtId="0" fontId="2" fillId="0" borderId="17" xfId="0" applyFont="1" applyBorder="1" applyAlignment="1" applyProtection="1">
      <alignment horizontal="center"/>
      <protection hidden="1"/>
    </xf>
    <xf numFmtId="0" fontId="0" fillId="0" borderId="19" xfId="0" applyBorder="1" applyAlignment="1" applyProtection="1">
      <protection hidden="1"/>
    </xf>
    <xf numFmtId="165" fontId="0" fillId="0" borderId="17" xfId="0" applyNumberFormat="1" applyBorder="1" applyProtection="1">
      <protection hidden="1"/>
    </xf>
    <xf numFmtId="165" fontId="0" fillId="0" borderId="1" xfId="0" applyNumberFormat="1" applyBorder="1" applyProtection="1">
      <protection hidden="1"/>
    </xf>
    <xf numFmtId="165" fontId="0" fillId="0" borderId="18" xfId="0" applyNumberFormat="1" applyBorder="1" applyProtection="1">
      <protection hidden="1"/>
    </xf>
    <xf numFmtId="0" fontId="0" fillId="0" borderId="4" xfId="0" applyNumberFormat="1" applyFill="1" applyBorder="1" applyProtection="1">
      <protection hidden="1"/>
    </xf>
    <xf numFmtId="165" fontId="0" fillId="0" borderId="20" xfId="0" applyNumberFormat="1" applyBorder="1" applyProtection="1">
      <protection hidden="1"/>
    </xf>
    <xf numFmtId="165" fontId="0" fillId="0" borderId="21" xfId="0" applyNumberFormat="1" applyBorder="1" applyProtection="1">
      <protection hidden="1"/>
    </xf>
    <xf numFmtId="165" fontId="0" fillId="0" borderId="22" xfId="0" applyNumberFormat="1" applyBorder="1" applyProtection="1">
      <protection hidden="1"/>
    </xf>
    <xf numFmtId="165" fontId="0" fillId="0" borderId="0" xfId="0" applyNumberFormat="1" applyBorder="1" applyProtection="1">
      <protection hidden="1"/>
    </xf>
    <xf numFmtId="165" fontId="0" fillId="0" borderId="17" xfId="0" applyNumberFormat="1" applyBorder="1" applyAlignment="1" applyProtection="1">
      <protection hidden="1"/>
    </xf>
    <xf numFmtId="10" fontId="0" fillId="0" borderId="17" xfId="0" applyNumberFormat="1" applyBorder="1" applyAlignment="1" applyProtection="1">
      <protection hidden="1"/>
    </xf>
    <xf numFmtId="9" fontId="0" fillId="0" borderId="20" xfId="0" applyNumberFormat="1" applyBorder="1" applyProtection="1">
      <protection hidden="1"/>
    </xf>
    <xf numFmtId="0" fontId="0" fillId="0" borderId="22" xfId="0" applyBorder="1" applyProtection="1">
      <protection hidden="1"/>
    </xf>
    <xf numFmtId="10" fontId="0" fillId="0" borderId="20" xfId="0" applyNumberFormat="1" applyBorder="1" applyProtection="1">
      <protection hidden="1"/>
    </xf>
    <xf numFmtId="0" fontId="6" fillId="0" borderId="1" xfId="2" applyFont="1" applyBorder="1" applyProtection="1">
      <protection hidden="1"/>
    </xf>
    <xf numFmtId="166" fontId="0" fillId="0" borderId="1" xfId="1" applyNumberFormat="1" applyFont="1" applyFill="1" applyBorder="1" applyProtection="1">
      <protection hidden="1"/>
    </xf>
    <xf numFmtId="10" fontId="0" fillId="0" borderId="1" xfId="0" applyNumberFormat="1" applyFill="1" applyBorder="1" applyProtection="1">
      <protection hidden="1"/>
    </xf>
    <xf numFmtId="167" fontId="4" fillId="0" borderId="1" xfId="2" applyNumberFormat="1" applyFill="1" applyBorder="1" applyProtection="1">
      <protection hidden="1"/>
    </xf>
    <xf numFmtId="174" fontId="4" fillId="0" borderId="1" xfId="2" applyNumberFormat="1" applyFill="1" applyBorder="1" applyProtection="1">
      <protection hidden="1"/>
    </xf>
    <xf numFmtId="9" fontId="0" fillId="0" borderId="1" xfId="0" applyNumberFormat="1" applyBorder="1" applyProtection="1">
      <protection hidden="1"/>
    </xf>
    <xf numFmtId="0" fontId="4" fillId="0" borderId="1" xfId="2" applyFill="1" applyBorder="1" applyAlignment="1" applyProtection="1">
      <alignment horizontal="center"/>
      <protection hidden="1"/>
    </xf>
    <xf numFmtId="10" fontId="0" fillId="4" borderId="1" xfId="0" applyNumberFormat="1" applyFill="1" applyBorder="1" applyProtection="1">
      <protection hidden="1"/>
    </xf>
    <xf numFmtId="0" fontId="0" fillId="4" borderId="1" xfId="0" applyFill="1" applyBorder="1" applyProtection="1">
      <protection hidden="1"/>
    </xf>
    <xf numFmtId="10" fontId="0" fillId="0" borderId="1" xfId="0" applyNumberFormat="1" applyBorder="1" applyProtection="1">
      <protection hidden="1"/>
    </xf>
    <xf numFmtId="0" fontId="0" fillId="4" borderId="0" xfId="0" applyFill="1" applyProtection="1">
      <protection hidden="1"/>
    </xf>
    <xf numFmtId="9" fontId="0" fillId="0" borderId="1" xfId="0" applyNumberFormat="1" applyFill="1" applyBorder="1" applyProtection="1">
      <protection hidden="1"/>
    </xf>
    <xf numFmtId="9" fontId="0" fillId="0" borderId="0" xfId="0" applyNumberFormat="1" applyFill="1" applyBorder="1" applyProtection="1">
      <protection hidden="1"/>
    </xf>
    <xf numFmtId="0" fontId="4" fillId="0" borderId="4" xfId="2" applyBorder="1" applyAlignment="1" applyProtection="1">
      <alignment horizontal="center" vertical="center" wrapText="1"/>
      <protection hidden="1"/>
    </xf>
    <xf numFmtId="10" fontId="4" fillId="2" borderId="7" xfId="1" applyNumberFormat="1" applyFont="1" applyFill="1" applyBorder="1" applyProtection="1">
      <protection hidden="1"/>
    </xf>
    <xf numFmtId="164" fontId="4" fillId="2" borderId="4" xfId="3" applyNumberFormat="1" applyFont="1" applyFill="1" applyBorder="1" applyProtection="1">
      <protection hidden="1"/>
    </xf>
    <xf numFmtId="0" fontId="4" fillId="2" borderId="1" xfId="2" applyFill="1" applyBorder="1" applyProtection="1">
      <protection hidden="1"/>
    </xf>
    <xf numFmtId="164" fontId="4" fillId="2" borderId="1" xfId="3" applyNumberFormat="1" applyFont="1" applyFill="1" applyBorder="1" applyProtection="1">
      <protection hidden="1"/>
    </xf>
    <xf numFmtId="10" fontId="4" fillId="0" borderId="1" xfId="1" applyNumberFormat="1" applyFont="1" applyBorder="1" applyProtection="1">
      <protection hidden="1"/>
    </xf>
    <xf numFmtId="164" fontId="4" fillId="0" borderId="0" xfId="2" applyNumberFormat="1" applyFill="1" applyProtection="1">
      <protection hidden="1"/>
    </xf>
    <xf numFmtId="0" fontId="4" fillId="0" borderId="1" xfId="2" applyFill="1" applyBorder="1" applyProtection="1">
      <protection hidden="1"/>
    </xf>
    <xf numFmtId="164" fontId="4" fillId="0" borderId="1" xfId="2" applyNumberFormat="1" applyFill="1" applyBorder="1" applyProtection="1">
      <protection hidden="1"/>
    </xf>
    <xf numFmtId="0" fontId="4" fillId="0" borderId="0" xfId="2" applyNumberFormat="1" applyFill="1" applyProtection="1">
      <protection hidden="1"/>
    </xf>
    <xf numFmtId="10" fontId="4" fillId="2" borderId="1" xfId="1" applyNumberFormat="1" applyFont="1" applyFill="1" applyBorder="1" applyProtection="1">
      <protection hidden="1"/>
    </xf>
    <xf numFmtId="0" fontId="6" fillId="0" borderId="0" xfId="2" applyFont="1" applyProtection="1">
      <protection hidden="1"/>
    </xf>
    <xf numFmtId="0" fontId="4" fillId="0" borderId="0" xfId="2" applyFill="1" applyProtection="1">
      <protection hidden="1"/>
    </xf>
    <xf numFmtId="166" fontId="4" fillId="2" borderId="0" xfId="3" applyNumberFormat="1" applyFont="1" applyFill="1" applyProtection="1">
      <protection hidden="1"/>
    </xf>
    <xf numFmtId="0" fontId="4" fillId="2" borderId="0" xfId="2" applyFill="1" applyProtection="1">
      <protection hidden="1"/>
    </xf>
    <xf numFmtId="9" fontId="4" fillId="0" borderId="1" xfId="2" applyNumberFormat="1" applyFill="1" applyBorder="1" applyProtection="1">
      <protection hidden="1"/>
    </xf>
    <xf numFmtId="9" fontId="4" fillId="0" borderId="0" xfId="2" applyNumberFormat="1" applyProtection="1">
      <protection hidden="1"/>
    </xf>
    <xf numFmtId="0" fontId="4" fillId="0" borderId="1" xfId="2" applyBorder="1" applyAlignment="1" applyProtection="1">
      <alignment horizontal="right"/>
      <protection hidden="1"/>
    </xf>
    <xf numFmtId="9" fontId="4" fillId="0" borderId="1" xfId="3" applyFill="1" applyBorder="1" applyProtection="1">
      <protection hidden="1"/>
    </xf>
    <xf numFmtId="164" fontId="4" fillId="0" borderId="1" xfId="1" applyNumberFormat="1" applyFont="1" applyFill="1" applyBorder="1" applyProtection="1">
      <protection hidden="1"/>
    </xf>
    <xf numFmtId="0" fontId="4" fillId="0" borderId="1" xfId="1" applyNumberFormat="1" applyFont="1" applyFill="1" applyBorder="1" applyProtection="1">
      <protection hidden="1"/>
    </xf>
    <xf numFmtId="0" fontId="4" fillId="0" borderId="0" xfId="2" applyFill="1" applyBorder="1" applyAlignment="1" applyProtection="1">
      <alignment horizontal="center"/>
      <protection hidden="1"/>
    </xf>
    <xf numFmtId="9" fontId="4" fillId="2" borderId="0" xfId="2" applyNumberFormat="1" applyFill="1" applyProtection="1">
      <protection hidden="1"/>
    </xf>
    <xf numFmtId="164" fontId="4" fillId="0" borderId="0" xfId="2" applyNumberFormat="1" applyProtection="1">
      <protection hidden="1"/>
    </xf>
    <xf numFmtId="10" fontId="4" fillId="0" borderId="0" xfId="2" applyNumberFormat="1" applyProtection="1">
      <protection hidden="1"/>
    </xf>
    <xf numFmtId="0" fontId="4" fillId="2" borderId="0" xfId="2" applyFill="1" applyBorder="1" applyAlignment="1" applyProtection="1">
      <alignment horizontal="right"/>
      <protection hidden="1"/>
    </xf>
    <xf numFmtId="9" fontId="4" fillId="2" borderId="0" xfId="3" applyFont="1" applyFill="1" applyBorder="1" applyProtection="1">
      <protection hidden="1"/>
    </xf>
    <xf numFmtId="164" fontId="4" fillId="2" borderId="0" xfId="3" applyNumberFormat="1" applyFont="1" applyFill="1" applyBorder="1" applyProtection="1">
      <protection hidden="1"/>
    </xf>
    <xf numFmtId="0" fontId="4" fillId="2" borderId="0" xfId="2" applyFill="1" applyBorder="1" applyProtection="1">
      <protection hidden="1"/>
    </xf>
    <xf numFmtId="9" fontId="0" fillId="0" borderId="1" xfId="3" applyFont="1" applyBorder="1" applyProtection="1">
      <protection hidden="1"/>
    </xf>
    <xf numFmtId="169" fontId="4" fillId="0" borderId="1" xfId="2" applyNumberFormat="1" applyFont="1" applyFill="1" applyBorder="1" applyProtection="1">
      <protection hidden="1"/>
    </xf>
    <xf numFmtId="0" fontId="5" fillId="0" borderId="0" xfId="2" applyFont="1" applyProtection="1">
      <protection hidden="1"/>
    </xf>
    <xf numFmtId="0" fontId="4" fillId="0" borderId="1" xfId="2" applyFont="1" applyFill="1" applyBorder="1" applyProtection="1">
      <protection hidden="1"/>
    </xf>
    <xf numFmtId="170" fontId="0" fillId="0" borderId="1" xfId="3" applyNumberFormat="1" applyFont="1" applyFill="1" applyBorder="1" applyProtection="1">
      <protection hidden="1"/>
    </xf>
    <xf numFmtId="168" fontId="4" fillId="0" borderId="1" xfId="2" applyNumberFormat="1" applyFill="1" applyBorder="1" applyProtection="1">
      <protection hidden="1"/>
    </xf>
    <xf numFmtId="9" fontId="4" fillId="0" borderId="4" xfId="2" applyNumberFormat="1" applyFill="1" applyBorder="1" applyProtection="1">
      <protection hidden="1"/>
    </xf>
    <xf numFmtId="0" fontId="4" fillId="0" borderId="0" xfId="2" applyBorder="1" applyAlignment="1" applyProtection="1">
      <alignment horizontal="center"/>
      <protection hidden="1"/>
    </xf>
    <xf numFmtId="9" fontId="4" fillId="0" borderId="0" xfId="3" applyFill="1" applyBorder="1" applyProtection="1">
      <protection hidden="1"/>
    </xf>
    <xf numFmtId="164" fontId="4" fillId="0" borderId="0" xfId="3" applyNumberFormat="1" applyFont="1" applyFill="1" applyBorder="1" applyProtection="1">
      <protection hidden="1"/>
    </xf>
    <xf numFmtId="0" fontId="4" fillId="0" borderId="0" xfId="2" applyFill="1" applyBorder="1" applyProtection="1">
      <protection hidden="1"/>
    </xf>
    <xf numFmtId="172" fontId="4" fillId="0" borderId="0" xfId="3" applyNumberFormat="1" applyFont="1" applyFill="1" applyBorder="1" applyProtection="1">
      <protection hidden="1"/>
    </xf>
    <xf numFmtId="172" fontId="4" fillId="0" borderId="0" xfId="2" applyNumberFormat="1" applyFill="1" applyBorder="1" applyProtection="1">
      <protection hidden="1"/>
    </xf>
    <xf numFmtId="0" fontId="4" fillId="0" borderId="2" xfId="2" applyFill="1" applyBorder="1" applyProtection="1">
      <protection hidden="1"/>
    </xf>
    <xf numFmtId="0" fontId="4" fillId="0" borderId="1" xfId="2" applyFill="1" applyBorder="1" applyAlignment="1" applyProtection="1">
      <alignment horizontal="center" vertical="center" wrapText="1"/>
      <protection hidden="1"/>
    </xf>
    <xf numFmtId="172" fontId="4" fillId="0" borderId="1" xfId="2" applyNumberFormat="1" applyFill="1" applyBorder="1" applyProtection="1">
      <protection hidden="1"/>
    </xf>
    <xf numFmtId="166" fontId="0" fillId="0" borderId="0" xfId="3" applyNumberFormat="1" applyFont="1" applyFill="1" applyProtection="1">
      <protection hidden="1"/>
    </xf>
    <xf numFmtId="0" fontId="4" fillId="0" borderId="0" xfId="2" applyNumberFormat="1" applyProtection="1">
      <protection hidden="1"/>
    </xf>
    <xf numFmtId="0" fontId="5" fillId="0" borderId="1" xfId="2" applyFont="1" applyFill="1" applyBorder="1" applyAlignment="1" applyProtection="1">
      <alignment horizontal="center" vertical="center" wrapText="1"/>
      <protection hidden="1"/>
    </xf>
    <xf numFmtId="9" fontId="4" fillId="0" borderId="1" xfId="3" applyFont="1" applyFill="1" applyBorder="1" applyProtection="1">
      <protection hidden="1"/>
    </xf>
    <xf numFmtId="0" fontId="4" fillId="0" borderId="0" xfId="2" applyFill="1" applyBorder="1" applyAlignment="1" applyProtection="1">
      <alignment horizontal="right"/>
      <protection hidden="1"/>
    </xf>
    <xf numFmtId="9" fontId="4" fillId="0" borderId="0" xfId="3" applyFont="1" applyFill="1" applyBorder="1" applyProtection="1">
      <protection hidden="1"/>
    </xf>
    <xf numFmtId="9" fontId="0" fillId="0" borderId="0" xfId="3" applyFont="1" applyBorder="1" applyProtection="1">
      <protection hidden="1"/>
    </xf>
    <xf numFmtId="164" fontId="0" fillId="0" borderId="0" xfId="3" applyNumberFormat="1" applyFont="1" applyFill="1" applyBorder="1" applyProtection="1">
      <protection hidden="1"/>
    </xf>
    <xf numFmtId="9" fontId="0" fillId="0" borderId="0" xfId="3" applyFont="1" applyFill="1" applyBorder="1" applyProtection="1">
      <protection hidden="1"/>
    </xf>
    <xf numFmtId="9" fontId="4" fillId="0" borderId="0" xfId="2" applyNumberFormat="1" applyFill="1" applyProtection="1">
      <protection hidden="1"/>
    </xf>
    <xf numFmtId="0" fontId="4" fillId="0" borderId="2" xfId="2" applyFill="1" applyBorder="1" applyAlignment="1" applyProtection="1">
      <alignment horizontal="center" vertical="center" wrapText="1"/>
      <protection hidden="1"/>
    </xf>
    <xf numFmtId="0" fontId="5" fillId="0" borderId="1" xfId="2" applyFont="1" applyBorder="1" applyProtection="1">
      <protection hidden="1"/>
    </xf>
    <xf numFmtId="9" fontId="4" fillId="0" borderId="1" xfId="3" applyFont="1" applyBorder="1" applyProtection="1">
      <protection hidden="1"/>
    </xf>
    <xf numFmtId="167" fontId="0" fillId="0" borderId="1" xfId="3" applyNumberFormat="1" applyFont="1" applyBorder="1" applyProtection="1">
      <protection hidden="1"/>
    </xf>
    <xf numFmtId="0" fontId="6" fillId="0" borderId="1" xfId="2" applyFont="1" applyFill="1" applyBorder="1" applyProtection="1">
      <protection hidden="1"/>
    </xf>
    <xf numFmtId="0" fontId="20" fillId="0"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left" vertical="center" wrapText="1"/>
      <protection hidden="1"/>
    </xf>
    <xf numFmtId="0" fontId="25" fillId="0" borderId="39" xfId="0" applyFont="1" applyFill="1" applyBorder="1" applyAlignment="1" applyProtection="1">
      <alignment horizontal="left" vertical="center" wrapText="1"/>
      <protection hidden="1"/>
    </xf>
    <xf numFmtId="0" fontId="20" fillId="0" borderId="38" xfId="0" applyFont="1" applyFill="1" applyBorder="1" applyAlignment="1" applyProtection="1">
      <alignment horizontal="center" vertical="center"/>
      <protection hidden="1"/>
    </xf>
    <xf numFmtId="0" fontId="35" fillId="2" borderId="0" xfId="2" applyFont="1" applyFill="1" applyProtection="1"/>
    <xf numFmtId="0" fontId="37" fillId="2" borderId="3" xfId="2" applyFont="1" applyFill="1" applyBorder="1" applyAlignment="1" applyProtection="1">
      <alignment vertical="center"/>
    </xf>
    <xf numFmtId="0" fontId="38" fillId="2" borderId="3" xfId="2" applyFont="1" applyFill="1" applyBorder="1" applyAlignment="1" applyProtection="1">
      <alignment vertical="center"/>
    </xf>
    <xf numFmtId="0" fontId="35" fillId="2" borderId="3" xfId="2" applyFont="1" applyFill="1" applyBorder="1" applyProtection="1"/>
    <xf numFmtId="0" fontId="37" fillId="2" borderId="11" xfId="2" applyFont="1" applyFill="1" applyBorder="1" applyAlignment="1" applyProtection="1">
      <alignment vertical="center"/>
    </xf>
    <xf numFmtId="0" fontId="38" fillId="2" borderId="11" xfId="2" applyFont="1" applyFill="1" applyBorder="1" applyAlignment="1" applyProtection="1">
      <alignment vertical="center"/>
    </xf>
    <xf numFmtId="0" fontId="35" fillId="2" borderId="11" xfId="2" applyFont="1" applyFill="1" applyBorder="1" applyProtection="1"/>
    <xf numFmtId="0" fontId="39" fillId="2" borderId="0" xfId="2" applyFont="1" applyFill="1" applyBorder="1" applyAlignment="1" applyProtection="1">
      <alignment horizontal="left" vertical="center" wrapText="1"/>
    </xf>
    <xf numFmtId="0" fontId="35" fillId="2" borderId="0" xfId="2" applyFont="1" applyFill="1" applyBorder="1" applyAlignment="1" applyProtection="1">
      <alignment horizontal="center" vertical="center" wrapText="1" shrinkToFit="1"/>
    </xf>
    <xf numFmtId="0" fontId="39" fillId="2" borderId="0" xfId="2" applyFont="1" applyFill="1" applyBorder="1" applyAlignment="1" applyProtection="1">
      <alignment horizontal="left" vertical="center"/>
    </xf>
    <xf numFmtId="0" fontId="35" fillId="2" borderId="0" xfId="2" applyFont="1" applyFill="1" applyBorder="1" applyAlignment="1" applyProtection="1">
      <alignment horizontal="center" vertical="center"/>
    </xf>
    <xf numFmtId="0" fontId="39" fillId="2" borderId="0" xfId="2" applyFont="1" applyFill="1" applyBorder="1" applyAlignment="1" applyProtection="1">
      <alignment vertical="center" wrapText="1"/>
    </xf>
    <xf numFmtId="0" fontId="35" fillId="2" borderId="0" xfId="2" applyFont="1" applyFill="1" applyBorder="1" applyAlignment="1" applyProtection="1">
      <alignment vertical="center" wrapText="1" shrinkToFit="1"/>
    </xf>
    <xf numFmtId="0" fontId="40" fillId="2" borderId="38" xfId="2" applyFont="1" applyFill="1" applyBorder="1" applyAlignment="1" applyProtection="1">
      <alignment horizontal="left" vertical="center"/>
    </xf>
    <xf numFmtId="0" fontId="41" fillId="2" borderId="39" xfId="2" applyFont="1" applyFill="1" applyBorder="1" applyAlignment="1" applyProtection="1">
      <alignment horizontal="left" vertical="center"/>
    </xf>
    <xf numFmtId="0" fontId="35" fillId="0" borderId="0" xfId="2" applyFont="1" applyFill="1" applyProtection="1"/>
    <xf numFmtId="0" fontId="40" fillId="2" borderId="0" xfId="2" applyFont="1" applyFill="1" applyBorder="1" applyAlignment="1" applyProtection="1">
      <alignment horizontal="left" vertical="center"/>
    </xf>
    <xf numFmtId="0" fontId="35" fillId="2" borderId="0" xfId="2" applyFont="1" applyFill="1" applyBorder="1" applyProtection="1"/>
    <xf numFmtId="0" fontId="39" fillId="2" borderId="0" xfId="2" applyFont="1" applyFill="1" applyBorder="1" applyAlignment="1" applyProtection="1">
      <alignment horizontal="left" vertical="top"/>
    </xf>
    <xf numFmtId="0" fontId="39" fillId="2" borderId="0" xfId="2" applyFont="1" applyFill="1" applyBorder="1" applyAlignment="1" applyProtection="1">
      <alignment horizontal="left"/>
    </xf>
    <xf numFmtId="0" fontId="35" fillId="2" borderId="0" xfId="2" applyFont="1" applyFill="1" applyBorder="1" applyAlignment="1" applyProtection="1">
      <alignment vertical="center"/>
    </xf>
    <xf numFmtId="0" fontId="39" fillId="2" borderId="0" xfId="2" applyFont="1" applyFill="1" applyBorder="1" applyAlignment="1" applyProtection="1">
      <alignment horizontal="center" vertical="center" wrapText="1"/>
    </xf>
    <xf numFmtId="0" fontId="35" fillId="2" borderId="0" xfId="2" applyFont="1" applyFill="1" applyBorder="1" applyAlignment="1" applyProtection="1">
      <alignment horizontal="left" vertical="center"/>
    </xf>
    <xf numFmtId="0" fontId="35" fillId="2" borderId="0" xfId="2" applyFont="1" applyFill="1" applyBorder="1" applyAlignment="1" applyProtection="1"/>
    <xf numFmtId="4" fontId="39" fillId="2" borderId="0" xfId="2" applyNumberFormat="1" applyFont="1" applyFill="1" applyBorder="1" applyAlignment="1" applyProtection="1">
      <alignment horizontal="left" vertical="center"/>
    </xf>
    <xf numFmtId="4" fontId="39" fillId="2" borderId="0" xfId="2" applyNumberFormat="1" applyFont="1" applyFill="1" applyBorder="1" applyAlignment="1" applyProtection="1">
      <alignment vertical="center"/>
    </xf>
    <xf numFmtId="0" fontId="35" fillId="2" borderId="38" xfId="2" applyFont="1" applyFill="1" applyBorder="1" applyProtection="1"/>
    <xf numFmtId="0" fontId="35" fillId="2" borderId="39" xfId="2" applyFont="1" applyFill="1" applyBorder="1" applyProtection="1"/>
    <xf numFmtId="0" fontId="0" fillId="0" borderId="0" xfId="0" applyProtection="1"/>
    <xf numFmtId="0" fontId="2" fillId="0" borderId="18" xfId="0" applyFont="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39" fillId="8" borderId="1" xfId="2" applyFont="1" applyFill="1" applyBorder="1" applyAlignment="1" applyProtection="1">
      <alignment vertical="center"/>
    </xf>
    <xf numFmtId="0" fontId="39" fillId="8" borderId="21" xfId="2" applyFont="1" applyFill="1" applyBorder="1" applyAlignment="1" applyProtection="1">
      <alignment horizontal="center" vertical="center" wrapText="1"/>
    </xf>
    <xf numFmtId="0" fontId="35" fillId="8" borderId="21" xfId="2" applyFont="1" applyFill="1" applyBorder="1" applyAlignment="1" applyProtection="1">
      <alignment horizontal="center" vertical="center"/>
    </xf>
    <xf numFmtId="0" fontId="0" fillId="5" borderId="1" xfId="0" applyFill="1" applyBorder="1" applyAlignment="1" applyProtection="1">
      <alignment horizontal="center"/>
    </xf>
    <xf numFmtId="0" fontId="20" fillId="5" borderId="1" xfId="0" applyFont="1" applyFill="1" applyBorder="1" applyAlignment="1" applyProtection="1">
      <alignment horizontal="center"/>
    </xf>
    <xf numFmtId="49" fontId="0" fillId="5" borderId="1" xfId="0" applyNumberFormat="1" applyFill="1" applyBorder="1" applyAlignment="1" applyProtection="1">
      <alignment horizontal="center"/>
    </xf>
    <xf numFmtId="49" fontId="0" fillId="5" borderId="1" xfId="0" applyNumberFormat="1" applyFill="1" applyBorder="1" applyAlignment="1" applyProtection="1">
      <alignment horizontal="center" vertical="center"/>
    </xf>
    <xf numFmtId="49" fontId="0" fillId="5" borderId="1" xfId="0" applyNumberFormat="1" applyFont="1" applyFill="1" applyBorder="1" applyAlignment="1" applyProtection="1">
      <alignment horizontal="center" vertical="center"/>
    </xf>
    <xf numFmtId="0" fontId="2" fillId="12" borderId="1" xfId="0" applyFont="1" applyFill="1" applyBorder="1" applyAlignment="1" applyProtection="1">
      <alignment horizontal="center"/>
    </xf>
    <xf numFmtId="0" fontId="0" fillId="12" borderId="1" xfId="0" applyFill="1" applyBorder="1" applyAlignment="1" applyProtection="1">
      <alignment horizontal="center"/>
    </xf>
    <xf numFmtId="0" fontId="0" fillId="12" borderId="1" xfId="0" applyFill="1" applyBorder="1" applyAlignment="1" applyProtection="1">
      <alignment horizontal="center" vertical="center"/>
    </xf>
    <xf numFmtId="9" fontId="4" fillId="12" borderId="17" xfId="3" applyFill="1" applyBorder="1" applyProtection="1"/>
    <xf numFmtId="164" fontId="4" fillId="12" borderId="1" xfId="1" applyNumberFormat="1" applyFont="1" applyFill="1" applyBorder="1" applyProtection="1"/>
    <xf numFmtId="172" fontId="4" fillId="12" borderId="1" xfId="2" applyNumberFormat="1" applyFill="1" applyBorder="1" applyProtection="1"/>
    <xf numFmtId="172" fontId="4" fillId="12" borderId="18" xfId="2" applyNumberFormat="1" applyFill="1" applyBorder="1" applyProtection="1"/>
    <xf numFmtId="0" fontId="4" fillId="12" borderId="1" xfId="2" applyFill="1" applyBorder="1" applyProtection="1"/>
    <xf numFmtId="0" fontId="4" fillId="12" borderId="18" xfId="2" applyFill="1" applyBorder="1" applyProtection="1"/>
    <xf numFmtId="9" fontId="4" fillId="12" borderId="17" xfId="3" applyFont="1" applyFill="1" applyBorder="1" applyProtection="1"/>
    <xf numFmtId="172" fontId="0" fillId="12" borderId="18" xfId="0" applyNumberFormat="1" applyFill="1" applyBorder="1" applyProtection="1"/>
    <xf numFmtId="0" fontId="4" fillId="12" borderId="21" xfId="2" applyFill="1" applyBorder="1" applyProtection="1"/>
    <xf numFmtId="0" fontId="8" fillId="14" borderId="1" xfId="0" applyFont="1" applyFill="1" applyBorder="1" applyAlignment="1" applyProtection="1">
      <alignment horizontal="center"/>
    </xf>
    <xf numFmtId="0" fontId="0" fillId="14" borderId="1" xfId="0" applyFill="1" applyBorder="1" applyAlignment="1" applyProtection="1">
      <alignment horizontal="center"/>
    </xf>
    <xf numFmtId="166" fontId="0" fillId="14" borderId="1" xfId="1" applyNumberFormat="1" applyFont="1" applyFill="1" applyBorder="1" applyAlignment="1" applyProtection="1">
      <alignment horizontal="center"/>
    </xf>
    <xf numFmtId="9" fontId="4" fillId="12" borderId="1" xfId="2" applyNumberFormat="1" applyFill="1" applyBorder="1" applyProtection="1"/>
    <xf numFmtId="9" fontId="4" fillId="12" borderId="18" xfId="2" applyNumberFormat="1" applyFill="1" applyBorder="1" applyProtection="1"/>
    <xf numFmtId="0" fontId="2" fillId="0" borderId="39" xfId="0" applyFont="1" applyBorder="1" applyAlignment="1" applyProtection="1">
      <alignment horizontal="center"/>
      <protection hidden="1"/>
    </xf>
    <xf numFmtId="0" fontId="0" fillId="0" borderId="1" xfId="0" applyFont="1" applyBorder="1" applyAlignment="1" applyProtection="1">
      <alignment horizontal="left"/>
      <protection hidden="1"/>
    </xf>
    <xf numFmtId="0" fontId="0" fillId="0" borderId="0" xfId="0" applyAlignment="1" applyProtection="1">
      <alignment horizontal="center"/>
      <protection hidden="1"/>
    </xf>
    <xf numFmtId="0" fontId="0" fillId="0" borderId="1" xfId="0" applyBorder="1" applyAlignment="1" applyProtection="1">
      <alignment horizontal="center"/>
      <protection hidden="1"/>
    </xf>
    <xf numFmtId="0" fontId="0" fillId="0" borderId="0" xfId="0" applyFill="1" applyBorder="1" applyAlignment="1" applyProtection="1">
      <alignment horizontal="center"/>
      <protection hidden="1"/>
    </xf>
    <xf numFmtId="0" fontId="0" fillId="7" borderId="1" xfId="0" applyFill="1" applyBorder="1" applyProtection="1">
      <protection hidden="1"/>
    </xf>
    <xf numFmtId="0" fontId="16" fillId="0" borderId="1" xfId="0" applyFont="1" applyBorder="1" applyAlignment="1" applyProtection="1">
      <alignment horizontal="center"/>
      <protection hidden="1"/>
    </xf>
    <xf numFmtId="0" fontId="16" fillId="0" borderId="1" xfId="0" applyFont="1" applyFill="1" applyBorder="1" applyAlignment="1" applyProtection="1">
      <alignment horizontal="center"/>
      <protection hidden="1"/>
    </xf>
    <xf numFmtId="0" fontId="16" fillId="0" borderId="1" xfId="0" applyNumberFormat="1" applyFont="1" applyBorder="1" applyProtection="1">
      <protection hidden="1"/>
    </xf>
    <xf numFmtId="165" fontId="16" fillId="0" borderId="1" xfId="1" applyNumberFormat="1" applyFont="1" applyBorder="1" applyProtection="1">
      <protection hidden="1"/>
    </xf>
    <xf numFmtId="0" fontId="16" fillId="0" borderId="1" xfId="0" applyNumberFormat="1" applyFont="1" applyFill="1" applyBorder="1" applyProtection="1">
      <protection hidden="1"/>
    </xf>
    <xf numFmtId="49" fontId="16" fillId="0" borderId="1" xfId="0" applyNumberFormat="1" applyFont="1" applyFill="1" applyBorder="1" applyAlignment="1" applyProtection="1">
      <alignment horizontal="right"/>
      <protection hidden="1"/>
    </xf>
    <xf numFmtId="0" fontId="16" fillId="0" borderId="1" xfId="0" applyNumberFormat="1" applyFont="1" applyBorder="1" applyAlignment="1" applyProtection="1">
      <alignment horizontal="center"/>
      <protection hidden="1"/>
    </xf>
    <xf numFmtId="172" fontId="16" fillId="0" borderId="1" xfId="0" applyNumberFormat="1" applyFont="1" applyBorder="1" applyProtection="1">
      <protection hidden="1"/>
    </xf>
    <xf numFmtId="2" fontId="16" fillId="0" borderId="1" xfId="0" applyNumberFormat="1" applyFont="1" applyBorder="1" applyProtection="1">
      <protection hidden="1"/>
    </xf>
    <xf numFmtId="49" fontId="16" fillId="0" borderId="1" xfId="0" applyNumberFormat="1" applyFont="1" applyBorder="1" applyAlignment="1" applyProtection="1">
      <alignment horizontal="right"/>
      <protection hidden="1"/>
    </xf>
    <xf numFmtId="0" fontId="16" fillId="0" borderId="1" xfId="0" applyFont="1" applyBorder="1" applyAlignment="1" applyProtection="1">
      <alignment horizontal="center" vertical="center"/>
      <protection hidden="1"/>
    </xf>
    <xf numFmtId="0" fontId="16" fillId="0" borderId="1" xfId="0" applyNumberFormat="1" applyFont="1" applyBorder="1" applyAlignment="1" applyProtection="1">
      <protection hidden="1"/>
    </xf>
    <xf numFmtId="0" fontId="16" fillId="0" borderId="1" xfId="1" applyNumberFormat="1" applyFont="1" applyBorder="1" applyProtection="1">
      <protection hidden="1"/>
    </xf>
    <xf numFmtId="0" fontId="31" fillId="0" borderId="1" xfId="0" applyFont="1" applyBorder="1" applyAlignment="1" applyProtection="1">
      <alignment horizontal="center"/>
      <protection hidden="1"/>
    </xf>
    <xf numFmtId="0" fontId="17" fillId="0" borderId="1" xfId="0" applyFont="1" applyBorder="1" applyAlignment="1" applyProtection="1">
      <alignment horizontal="center"/>
      <protection hidden="1"/>
    </xf>
    <xf numFmtId="0" fontId="17" fillId="0" borderId="1" xfId="0" applyNumberFormat="1" applyFont="1" applyBorder="1" applyProtection="1">
      <protection hidden="1"/>
    </xf>
    <xf numFmtId="165" fontId="17" fillId="0" borderId="1" xfId="1" applyNumberFormat="1" applyFont="1" applyFill="1" applyBorder="1" applyProtection="1">
      <protection hidden="1"/>
    </xf>
    <xf numFmtId="49" fontId="0" fillId="0" borderId="1" xfId="0" applyNumberFormat="1" applyBorder="1" applyProtection="1">
      <protection hidden="1"/>
    </xf>
    <xf numFmtId="0" fontId="17" fillId="0" borderId="1" xfId="0" applyNumberFormat="1" applyFont="1" applyBorder="1" applyAlignment="1" applyProtection="1">
      <alignment horizontal="center"/>
      <protection hidden="1"/>
    </xf>
    <xf numFmtId="172" fontId="17" fillId="0" borderId="1" xfId="0" applyNumberFormat="1" applyFont="1" applyBorder="1" applyProtection="1">
      <protection hidden="1"/>
    </xf>
    <xf numFmtId="0" fontId="17" fillId="0" borderId="1" xfId="0" applyFont="1" applyBorder="1" applyAlignment="1" applyProtection="1">
      <alignment horizontal="center" vertical="center"/>
      <protection hidden="1"/>
    </xf>
    <xf numFmtId="0" fontId="31" fillId="0" borderId="1" xfId="0" applyFont="1" applyFill="1" applyBorder="1" applyAlignment="1" applyProtection="1">
      <alignment horizontal="center"/>
      <protection hidden="1"/>
    </xf>
    <xf numFmtId="0" fontId="17" fillId="0" borderId="1" xfId="0" applyFont="1" applyFill="1" applyBorder="1" applyAlignment="1" applyProtection="1">
      <alignment horizontal="center" vertical="center"/>
      <protection hidden="1"/>
    </xf>
    <xf numFmtId="0" fontId="17" fillId="0" borderId="1" xfId="0" applyNumberFormat="1" applyFont="1" applyFill="1" applyBorder="1" applyProtection="1">
      <protection hidden="1"/>
    </xf>
    <xf numFmtId="172" fontId="17" fillId="0" borderId="1" xfId="0" applyNumberFormat="1" applyFont="1" applyFill="1" applyBorder="1" applyProtection="1">
      <protection hidden="1"/>
    </xf>
    <xf numFmtId="0" fontId="17" fillId="0" borderId="1" xfId="0" applyFont="1" applyFill="1" applyBorder="1" applyAlignment="1" applyProtection="1">
      <alignment horizontal="center"/>
      <protection hidden="1"/>
    </xf>
    <xf numFmtId="0" fontId="18" fillId="0" borderId="1" xfId="0" applyFont="1" applyBorder="1" applyAlignment="1" applyProtection="1">
      <alignment horizontal="center"/>
      <protection hidden="1"/>
    </xf>
    <xf numFmtId="0" fontId="18" fillId="0" borderId="1" xfId="0" applyNumberFormat="1" applyFont="1" applyBorder="1" applyProtection="1">
      <protection hidden="1"/>
    </xf>
    <xf numFmtId="165" fontId="26" fillId="0" borderId="1" xfId="1" applyNumberFormat="1" applyFont="1" applyBorder="1" applyProtection="1">
      <protection hidden="1"/>
    </xf>
    <xf numFmtId="0" fontId="18" fillId="0" borderId="1" xfId="0" applyNumberFormat="1" applyFont="1" applyBorder="1" applyAlignment="1" applyProtection="1">
      <alignment horizontal="center"/>
      <protection hidden="1"/>
    </xf>
    <xf numFmtId="172" fontId="18" fillId="0" borderId="1" xfId="0" applyNumberFormat="1" applyFont="1" applyBorder="1" applyProtection="1">
      <protection hidden="1"/>
    </xf>
    <xf numFmtId="0" fontId="18" fillId="0" borderId="1" xfId="0" applyFont="1" applyBorder="1" applyAlignment="1" applyProtection="1">
      <alignment horizontal="center" vertical="center"/>
      <protection hidden="1"/>
    </xf>
    <xf numFmtId="0" fontId="18" fillId="0" borderId="0" xfId="0" applyFont="1" applyBorder="1" applyAlignment="1" applyProtection="1">
      <alignment horizontal="center"/>
      <protection hidden="1"/>
    </xf>
    <xf numFmtId="0" fontId="18" fillId="0" borderId="0" xfId="0" applyNumberFormat="1" applyFont="1" applyBorder="1" applyProtection="1">
      <protection hidden="1"/>
    </xf>
    <xf numFmtId="172" fontId="18" fillId="0" borderId="0" xfId="0" applyNumberFormat="1" applyFont="1" applyBorder="1" applyProtection="1">
      <protection hidden="1"/>
    </xf>
    <xf numFmtId="0" fontId="20" fillId="12" borderId="1" xfId="0" applyFont="1" applyFill="1" applyBorder="1" applyAlignment="1" applyProtection="1">
      <alignment horizontal="center" vertical="center"/>
    </xf>
    <xf numFmtId="0" fontId="0" fillId="0" borderId="1" xfId="0" applyBorder="1" applyAlignment="1" applyProtection="1">
      <alignment horizontal="left"/>
      <protection hidden="1"/>
    </xf>
    <xf numFmtId="0" fontId="2" fillId="0" borderId="30" xfId="0" applyFont="1" applyBorder="1" applyAlignment="1" applyProtection="1">
      <alignment horizontal="center"/>
      <protection hidden="1"/>
    </xf>
    <xf numFmtId="0" fontId="0" fillId="0" borderId="54" xfId="0" applyBorder="1" applyAlignment="1" applyProtection="1">
      <alignment horizontal="center"/>
      <protection hidden="1"/>
    </xf>
    <xf numFmtId="0" fontId="0" fillId="0" borderId="4" xfId="0" applyBorder="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 xfId="0" applyBorder="1" applyAlignment="1" applyProtection="1">
      <alignment horizontal="center"/>
      <protection hidden="1"/>
    </xf>
    <xf numFmtId="0" fontId="25" fillId="0" borderId="0" xfId="0" applyFont="1" applyBorder="1" applyAlignment="1" applyProtection="1">
      <alignment horizontal="center" vertical="center" wrapText="1"/>
      <protection hidden="1"/>
    </xf>
    <xf numFmtId="49" fontId="0" fillId="12" borderId="1" xfId="0" applyNumberFormat="1" applyFont="1" applyFill="1" applyBorder="1" applyAlignment="1" applyProtection="1">
      <alignment horizontal="center" vertical="center"/>
    </xf>
    <xf numFmtId="0" fontId="0" fillId="12" borderId="1" xfId="0" applyNumberFormat="1" applyFill="1" applyBorder="1" applyAlignment="1" applyProtection="1">
      <alignment horizontal="center"/>
    </xf>
    <xf numFmtId="0" fontId="6" fillId="0" borderId="57" xfId="2" applyFont="1" applyBorder="1" applyAlignment="1" applyProtection="1">
      <protection hidden="1"/>
    </xf>
    <xf numFmtId="0" fontId="0" fillId="0" borderId="72" xfId="0" applyBorder="1" applyAlignment="1" applyProtection="1">
      <alignment horizontal="center"/>
      <protection hidden="1"/>
    </xf>
    <xf numFmtId="0" fontId="0" fillId="0" borderId="7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40" xfId="0" applyBorder="1" applyAlignment="1" applyProtection="1">
      <alignment horizontal="center"/>
      <protection hidden="1"/>
    </xf>
    <xf numFmtId="0" fontId="20" fillId="0" borderId="14" xfId="0" applyFont="1" applyBorder="1" applyAlignment="1" applyProtection="1">
      <alignment horizontal="center"/>
      <protection hidden="1"/>
    </xf>
    <xf numFmtId="0" fontId="20" fillId="0" borderId="17" xfId="0" applyFont="1" applyBorder="1" applyAlignment="1" applyProtection="1">
      <alignment horizontal="center"/>
      <protection hidden="1"/>
    </xf>
    <xf numFmtId="0" fontId="20" fillId="0" borderId="20" xfId="0" applyFont="1" applyBorder="1" applyAlignment="1" applyProtection="1">
      <alignment horizontal="center"/>
      <protection hidden="1"/>
    </xf>
    <xf numFmtId="0" fontId="6" fillId="0" borderId="75" xfId="2" applyFont="1" applyBorder="1" applyAlignment="1" applyProtection="1">
      <protection hidden="1"/>
    </xf>
    <xf numFmtId="0" fontId="6" fillId="0" borderId="76" xfId="2" applyFont="1" applyBorder="1" applyAlignment="1" applyProtection="1">
      <protection hidden="1"/>
    </xf>
    <xf numFmtId="0" fontId="6" fillId="0" borderId="63" xfId="2" applyFont="1" applyBorder="1" applyAlignment="1" applyProtection="1">
      <protection hidden="1"/>
    </xf>
    <xf numFmtId="0" fontId="25" fillId="0" borderId="18" xfId="0" applyFont="1" applyBorder="1" applyAlignment="1" applyProtection="1">
      <alignment horizontal="center"/>
      <protection hidden="1"/>
    </xf>
    <xf numFmtId="0" fontId="0" fillId="10" borderId="0" xfId="0" applyFill="1" applyProtection="1">
      <protection hidden="1"/>
    </xf>
    <xf numFmtId="0" fontId="8" fillId="0" borderId="0" xfId="0" applyFont="1" applyBorder="1" applyAlignment="1" applyProtection="1">
      <alignment horizontal="center"/>
      <protection hidden="1"/>
    </xf>
    <xf numFmtId="0" fontId="0" fillId="12" borderId="35" xfId="0" applyFill="1" applyBorder="1" applyProtection="1">
      <protection hidden="1"/>
    </xf>
    <xf numFmtId="0" fontId="0" fillId="12" borderId="38" xfId="0" applyFill="1" applyBorder="1" applyProtection="1">
      <protection hidden="1"/>
    </xf>
    <xf numFmtId="0" fontId="0" fillId="4" borderId="38" xfId="0" applyFill="1" applyBorder="1" applyProtection="1">
      <protection hidden="1"/>
    </xf>
    <xf numFmtId="0" fontId="0" fillId="5" borderId="38" xfId="0" applyFill="1" applyBorder="1" applyProtection="1">
      <protection hidden="1"/>
    </xf>
    <xf numFmtId="0" fontId="2" fillId="0" borderId="0" xfId="0" applyFont="1" applyBorder="1" applyAlignment="1" applyProtection="1">
      <alignment horizontal="center"/>
      <protection hidden="1"/>
    </xf>
    <xf numFmtId="0" fontId="0" fillId="14" borderId="38" xfId="0" applyFill="1" applyBorder="1" applyProtection="1">
      <protection hidden="1"/>
    </xf>
    <xf numFmtId="0" fontId="0" fillId="14" borderId="42" xfId="0" applyFill="1" applyBorder="1" applyProtection="1">
      <protection hidden="1"/>
    </xf>
    <xf numFmtId="0" fontId="0" fillId="4" borderId="1" xfId="0" applyFill="1" applyBorder="1" applyAlignment="1" applyProtection="1">
      <alignment horizontal="center"/>
      <protection hidden="1"/>
    </xf>
    <xf numFmtId="0" fontId="2" fillId="0" borderId="0" xfId="0" applyFont="1" applyBorder="1" applyAlignment="1" applyProtection="1">
      <protection hidden="1"/>
    </xf>
    <xf numFmtId="0" fontId="0" fillId="4" borderId="1" xfId="0" applyFill="1" applyBorder="1" applyAlignment="1" applyProtection="1">
      <alignment horizontal="center" vertical="center"/>
      <protection hidden="1"/>
    </xf>
    <xf numFmtId="0" fontId="0" fillId="0" borderId="0" xfId="0" applyFont="1" applyBorder="1" applyAlignment="1" applyProtection="1">
      <protection hidden="1"/>
    </xf>
    <xf numFmtId="49" fontId="8" fillId="0" borderId="0" xfId="0" applyNumberFormat="1" applyFont="1" applyFill="1" applyBorder="1" applyAlignment="1" applyProtection="1">
      <alignment horizontal="center"/>
      <protection hidden="1"/>
    </xf>
    <xf numFmtId="0" fontId="8" fillId="0" borderId="0" xfId="0" applyFont="1" applyProtection="1">
      <protection hidden="1"/>
    </xf>
    <xf numFmtId="0" fontId="21" fillId="0" borderId="0" xfId="0" applyFont="1" applyFill="1" applyBorder="1" applyAlignment="1" applyProtection="1">
      <alignment horizontal="left"/>
      <protection hidden="1"/>
    </xf>
    <xf numFmtId="0" fontId="24" fillId="0" borderId="1" xfId="0" applyFont="1" applyFill="1" applyBorder="1" applyAlignment="1" applyProtection="1">
      <alignment horizontal="center"/>
      <protection hidden="1"/>
    </xf>
    <xf numFmtId="0" fontId="21" fillId="0" borderId="0" xfId="0" applyFont="1" applyFill="1" applyBorder="1" applyAlignment="1" applyProtection="1">
      <protection hidden="1"/>
    </xf>
    <xf numFmtId="0" fontId="20" fillId="0" borderId="0" xfId="0" applyFont="1" applyFill="1" applyBorder="1" applyAlignment="1" applyProtection="1">
      <protection hidden="1"/>
    </xf>
    <xf numFmtId="0" fontId="23" fillId="0" borderId="0" xfId="0" applyFont="1" applyFill="1" applyBorder="1" applyAlignment="1" applyProtection="1">
      <protection hidden="1"/>
    </xf>
    <xf numFmtId="0" fontId="8" fillId="4" borderId="1" xfId="0" applyFont="1" applyFill="1" applyBorder="1" applyAlignment="1" applyProtection="1">
      <alignment horizontal="center"/>
      <protection hidden="1"/>
    </xf>
    <xf numFmtId="0" fontId="23" fillId="0" borderId="1" xfId="0" applyFont="1" applyFill="1" applyBorder="1" applyAlignment="1" applyProtection="1">
      <alignment horizontal="center"/>
      <protection hidden="1"/>
    </xf>
    <xf numFmtId="14" fontId="23" fillId="0" borderId="1" xfId="0" applyNumberFormat="1" applyFont="1" applyFill="1" applyBorder="1" applyAlignment="1" applyProtection="1">
      <alignment horizontal="center"/>
      <protection hidden="1"/>
    </xf>
    <xf numFmtId="0" fontId="23" fillId="0" borderId="0" xfId="0" applyFont="1" applyFill="1" applyBorder="1" applyAlignment="1" applyProtection="1">
      <alignment horizontal="center"/>
      <protection hidden="1"/>
    </xf>
    <xf numFmtId="0" fontId="0" fillId="4" borderId="1" xfId="0" applyNumberForma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3" borderId="1" xfId="0" applyFill="1" applyBorder="1" applyProtection="1">
      <protection hidden="1"/>
    </xf>
    <xf numFmtId="0" fontId="0" fillId="3" borderId="2" xfId="0" applyFill="1" applyBorder="1" applyProtection="1">
      <protection hidden="1"/>
    </xf>
    <xf numFmtId="172" fontId="0" fillId="0" borderId="1" xfId="0" applyNumberFormat="1" applyFill="1" applyBorder="1" applyAlignment="1" applyProtection="1">
      <alignment horizontal="center"/>
      <protection hidden="1"/>
    </xf>
    <xf numFmtId="0" fontId="0" fillId="0" borderId="0" xfId="0" applyFill="1" applyBorder="1" applyAlignment="1" applyProtection="1">
      <alignment horizontal="center" vertical="center"/>
      <protection hidden="1"/>
    </xf>
    <xf numFmtId="0" fontId="25" fillId="0" borderId="0" xfId="0" applyNumberFormat="1" applyFont="1" applyFill="1" applyBorder="1" applyAlignment="1" applyProtection="1">
      <alignment horizontal="center" vertical="center" wrapText="1" shrinkToFit="1"/>
      <protection hidden="1"/>
    </xf>
    <xf numFmtId="0" fontId="25" fillId="0" borderId="0" xfId="0" applyFont="1" applyFill="1" applyBorder="1" applyAlignment="1" applyProtection="1">
      <alignment horizontal="justify" vertical="top" wrapText="1"/>
      <protection hidden="1"/>
    </xf>
    <xf numFmtId="0" fontId="11" fillId="0" borderId="35" xfId="0" applyFont="1" applyBorder="1" applyProtection="1">
      <protection hidden="1"/>
    </xf>
    <xf numFmtId="0" fontId="0" fillId="0" borderId="36" xfId="0" applyBorder="1" applyProtection="1">
      <protection hidden="1"/>
    </xf>
    <xf numFmtId="0" fontId="0" fillId="0" borderId="36" xfId="0" applyBorder="1" applyAlignment="1" applyProtection="1">
      <alignment horizontal="right"/>
      <protection hidden="1"/>
    </xf>
    <xf numFmtId="0" fontId="0" fillId="0" borderId="37" xfId="0" applyBorder="1" applyProtection="1">
      <protection hidden="1"/>
    </xf>
    <xf numFmtId="173" fontId="0" fillId="0" borderId="1" xfId="0" applyNumberFormat="1" applyBorder="1" applyAlignment="1" applyProtection="1">
      <alignment horizontal="right"/>
      <protection hidden="1"/>
    </xf>
    <xf numFmtId="0" fontId="11" fillId="0" borderId="38" xfId="0" applyFont="1" applyBorder="1" applyProtection="1">
      <protection hidden="1"/>
    </xf>
    <xf numFmtId="0" fontId="0" fillId="0" borderId="0" xfId="0" applyBorder="1" applyAlignment="1" applyProtection="1">
      <alignment horizontal="right"/>
      <protection hidden="1"/>
    </xf>
    <xf numFmtId="0" fontId="2" fillId="0" borderId="38" xfId="0" applyFont="1" applyBorder="1" applyProtection="1">
      <protection hidden="1"/>
    </xf>
    <xf numFmtId="0" fontId="0" fillId="0" borderId="39" xfId="0" applyFill="1" applyBorder="1" applyProtection="1">
      <protection hidden="1"/>
    </xf>
    <xf numFmtId="0" fontId="0" fillId="0" borderId="23" xfId="0" applyBorder="1" applyAlignment="1" applyProtection="1">
      <alignment horizontal="center" vertical="center"/>
      <protection hidden="1"/>
    </xf>
    <xf numFmtId="169" fontId="0" fillId="0" borderId="1" xfId="0" applyNumberFormat="1" applyBorder="1" applyAlignment="1" applyProtection="1">
      <alignment horizontal="center" vertical="center"/>
      <protection hidden="1"/>
    </xf>
    <xf numFmtId="169" fontId="0" fillId="0" borderId="1" xfId="0" applyNumberFormat="1" applyBorder="1" applyAlignment="1" applyProtection="1">
      <alignment horizontal="center"/>
      <protection hidden="1"/>
    </xf>
    <xf numFmtId="166" fontId="0" fillId="4" borderId="1" xfId="1" applyNumberFormat="1" applyFont="1" applyFill="1" applyBorder="1" applyAlignment="1" applyProtection="1">
      <alignment horizontal="center"/>
      <protection hidden="1"/>
    </xf>
    <xf numFmtId="166" fontId="0" fillId="0" borderId="1" xfId="1" applyNumberFormat="1" applyFont="1" applyFill="1" applyBorder="1" applyAlignment="1" applyProtection="1">
      <alignment horizontal="center"/>
      <protection hidden="1"/>
    </xf>
    <xf numFmtId="0" fontId="0" fillId="0" borderId="19" xfId="0" applyFill="1" applyBorder="1" applyAlignment="1" applyProtection="1">
      <protection hidden="1"/>
    </xf>
    <xf numFmtId="166" fontId="0" fillId="0" borderId="2" xfId="1" applyNumberFormat="1" applyFont="1" applyBorder="1" applyProtection="1">
      <protection hidden="1"/>
    </xf>
    <xf numFmtId="164" fontId="0" fillId="0" borderId="18" xfId="0" applyNumberFormat="1" applyBorder="1" applyProtection="1">
      <protection hidden="1"/>
    </xf>
    <xf numFmtId="0" fontId="0" fillId="0" borderId="66" xfId="0" applyBorder="1" applyProtection="1">
      <protection hidden="1"/>
    </xf>
    <xf numFmtId="0" fontId="0" fillId="0" borderId="17" xfId="0" applyFill="1" applyBorder="1" applyProtection="1">
      <protection hidden="1"/>
    </xf>
    <xf numFmtId="0" fontId="0" fillId="3" borderId="18" xfId="0" applyFill="1" applyBorder="1" applyProtection="1">
      <protection hidden="1"/>
    </xf>
    <xf numFmtId="0" fontId="0" fillId="0" borderId="38" xfId="0" applyBorder="1" applyProtection="1">
      <protection hidden="1"/>
    </xf>
    <xf numFmtId="164" fontId="0" fillId="0" borderId="0" xfId="1" applyNumberFormat="1" applyFont="1" applyFill="1" applyBorder="1" applyProtection="1">
      <protection hidden="1"/>
    </xf>
    <xf numFmtId="10" fontId="0" fillId="0" borderId="0" xfId="1" applyNumberFormat="1" applyFont="1" applyFill="1" applyBorder="1" applyProtection="1">
      <protection hidden="1"/>
    </xf>
    <xf numFmtId="0" fontId="0" fillId="0" borderId="38" xfId="0" applyBorder="1" applyAlignment="1" applyProtection="1">
      <alignment horizontal="center" vertical="center"/>
      <protection hidden="1"/>
    </xf>
    <xf numFmtId="10" fontId="0" fillId="0" borderId="0" xfId="1" applyNumberFormat="1" applyFont="1" applyBorder="1" applyProtection="1">
      <protection hidden="1"/>
    </xf>
    <xf numFmtId="166" fontId="0" fillId="0" borderId="2" xfId="1" applyNumberFormat="1" applyFont="1" applyBorder="1" applyAlignment="1" applyProtection="1">
      <alignment horizontal="center"/>
      <protection hidden="1"/>
    </xf>
    <xf numFmtId="0" fontId="0" fillId="0" borderId="42" xfId="0" applyBorder="1" applyProtection="1">
      <protection hidden="1"/>
    </xf>
    <xf numFmtId="0" fontId="0" fillId="0" borderId="43" xfId="0" applyBorder="1" applyProtection="1">
      <protection hidden="1"/>
    </xf>
    <xf numFmtId="0" fontId="0" fillId="0" borderId="44" xfId="0" applyBorder="1" applyProtection="1">
      <protection hidden="1"/>
    </xf>
    <xf numFmtId="0" fontId="0" fillId="0" borderId="38" xfId="0" applyBorder="1" applyAlignment="1" applyProtection="1">
      <alignment horizontal="center"/>
      <protection hidden="1"/>
    </xf>
    <xf numFmtId="0" fontId="2" fillId="0" borderId="0" xfId="0" applyFont="1" applyFill="1" applyBorder="1" applyProtection="1">
      <protection hidden="1"/>
    </xf>
    <xf numFmtId="0" fontId="0" fillId="0" borderId="3" xfId="0" applyBorder="1" applyAlignment="1" applyProtection="1">
      <protection hidden="1"/>
    </xf>
    <xf numFmtId="0" fontId="0" fillId="0" borderId="4" xfId="0" applyBorder="1" applyAlignment="1" applyProtection="1">
      <protection hidden="1"/>
    </xf>
    <xf numFmtId="10" fontId="0" fillId="0" borderId="1" xfId="1" applyNumberFormat="1" applyFont="1" applyBorder="1" applyAlignment="1" applyProtection="1">
      <alignment horizontal="center"/>
      <protection hidden="1"/>
    </xf>
    <xf numFmtId="10" fontId="0" fillId="0" borderId="1" xfId="1" applyNumberFormat="1" applyFont="1" applyFill="1" applyBorder="1" applyAlignment="1" applyProtection="1">
      <alignment horizontal="center"/>
      <protection hidden="1"/>
    </xf>
    <xf numFmtId="172" fontId="0" fillId="0" borderId="1" xfId="0" applyNumberFormat="1" applyFill="1" applyBorder="1" applyProtection="1">
      <protection hidden="1"/>
    </xf>
    <xf numFmtId="0" fontId="0" fillId="0" borderId="1" xfId="0" applyNumberFormat="1" applyBorder="1" applyProtection="1">
      <protection hidden="1"/>
    </xf>
    <xf numFmtId="10" fontId="0" fillId="0" borderId="1" xfId="1" applyNumberFormat="1" applyFont="1" applyBorder="1" applyProtection="1">
      <protection hidden="1"/>
    </xf>
    <xf numFmtId="10" fontId="0" fillId="0" borderId="1" xfId="1" applyNumberFormat="1" applyFont="1" applyFill="1" applyBorder="1" applyProtection="1">
      <protection hidden="1"/>
    </xf>
    <xf numFmtId="0" fontId="0" fillId="0" borderId="0" xfId="0" applyNumberFormat="1" applyBorder="1" applyProtection="1">
      <protection hidden="1"/>
    </xf>
    <xf numFmtId="164" fontId="0" fillId="0" borderId="0" xfId="0" applyNumberFormat="1" applyBorder="1" applyProtection="1">
      <protection hidden="1"/>
    </xf>
    <xf numFmtId="0" fontId="4" fillId="0" borderId="36" xfId="2" applyBorder="1" applyProtection="1">
      <protection hidden="1"/>
    </xf>
    <xf numFmtId="0" fontId="4" fillId="0" borderId="37" xfId="2" applyBorder="1" applyProtection="1">
      <protection hidden="1"/>
    </xf>
    <xf numFmtId="0" fontId="4" fillId="0" borderId="39" xfId="2" applyBorder="1" applyProtection="1">
      <protection hidden="1"/>
    </xf>
    <xf numFmtId="0" fontId="4" fillId="0" borderId="38" xfId="2" applyBorder="1" applyProtection="1">
      <protection hidden="1"/>
    </xf>
    <xf numFmtId="0" fontId="6" fillId="0" borderId="38" xfId="2" applyFont="1" applyBorder="1" applyAlignment="1" applyProtection="1">
      <alignment horizontal="center"/>
      <protection hidden="1"/>
    </xf>
    <xf numFmtId="0" fontId="4" fillId="0" borderId="17" xfId="2" applyBorder="1" applyProtection="1">
      <protection hidden="1"/>
    </xf>
    <xf numFmtId="0" fontId="4" fillId="0" borderId="18" xfId="2" applyBorder="1" applyProtection="1">
      <protection hidden="1"/>
    </xf>
    <xf numFmtId="0" fontId="0" fillId="0" borderId="0" xfId="0" applyFill="1" applyBorder="1" applyAlignment="1" applyProtection="1">
      <protection hidden="1"/>
    </xf>
    <xf numFmtId="0" fontId="0" fillId="0" borderId="0" xfId="0" applyFont="1" applyBorder="1" applyAlignment="1" applyProtection="1">
      <alignment horizontal="left"/>
      <protection hidden="1"/>
    </xf>
    <xf numFmtId="0" fontId="4" fillId="0" borderId="42" xfId="2" applyBorder="1" applyProtection="1">
      <protection hidden="1"/>
    </xf>
    <xf numFmtId="0" fontId="4" fillId="0" borderId="43" xfId="2" applyBorder="1" applyProtection="1">
      <protection hidden="1"/>
    </xf>
    <xf numFmtId="0" fontId="4" fillId="0" borderId="44" xfId="2" applyBorder="1" applyProtection="1">
      <protection hidden="1"/>
    </xf>
    <xf numFmtId="0" fontId="4" fillId="0" borderId="2" xfId="2" applyBorder="1" applyAlignment="1" applyProtection="1">
      <alignment horizontal="center" vertical="center" wrapText="1"/>
      <protection hidden="1"/>
    </xf>
    <xf numFmtId="0" fontId="6" fillId="0" borderId="38" xfId="2" applyFont="1" applyBorder="1" applyProtection="1">
      <protection hidden="1"/>
    </xf>
    <xf numFmtId="0" fontId="4" fillId="0" borderId="18" xfId="2" applyBorder="1" applyAlignment="1" applyProtection="1">
      <alignment horizontal="center"/>
      <protection hidden="1"/>
    </xf>
    <xf numFmtId="2" fontId="4" fillId="0" borderId="1" xfId="2" applyNumberFormat="1" applyFill="1" applyBorder="1" applyProtection="1">
      <protection hidden="1"/>
    </xf>
    <xf numFmtId="2" fontId="0" fillId="0" borderId="18" xfId="0" applyNumberFormat="1" applyBorder="1" applyProtection="1">
      <protection hidden="1"/>
    </xf>
    <xf numFmtId="2" fontId="0" fillId="0" borderId="22" xfId="0" applyNumberFormat="1" applyBorder="1" applyProtection="1">
      <protection hidden="1"/>
    </xf>
    <xf numFmtId="172" fontId="0" fillId="0" borderId="18" xfId="0" applyNumberFormat="1" applyBorder="1" applyProtection="1">
      <protection hidden="1"/>
    </xf>
    <xf numFmtId="172" fontId="0" fillId="0" borderId="22" xfId="0" applyNumberFormat="1" applyBorder="1" applyProtection="1">
      <protection hidden="1"/>
    </xf>
    <xf numFmtId="0" fontId="4" fillId="0" borderId="17" xfId="2" applyBorder="1" applyAlignment="1" applyProtection="1">
      <alignment horizontal="center" vertical="center" wrapText="1"/>
      <protection hidden="1"/>
    </xf>
    <xf numFmtId="0" fontId="4" fillId="0" borderId="1" xfId="2" applyBorder="1" applyAlignment="1" applyProtection="1">
      <alignment horizontal="center" vertical="center" wrapText="1"/>
      <protection hidden="1"/>
    </xf>
    <xf numFmtId="49" fontId="0" fillId="12" borderId="1" xfId="0" applyNumberFormat="1" applyFill="1" applyBorder="1" applyAlignment="1" applyProtection="1">
      <alignment horizontal="center"/>
    </xf>
    <xf numFmtId="0" fontId="0" fillId="14" borderId="1" xfId="0" applyFill="1" applyBorder="1" applyAlignment="1" applyProtection="1">
      <alignment horizontal="center" vertical="center"/>
    </xf>
    <xf numFmtId="49" fontId="48" fillId="9" borderId="18" xfId="2" applyNumberFormat="1" applyFont="1" applyFill="1" applyBorder="1" applyAlignment="1" applyProtection="1">
      <alignment horizontal="center" vertical="center"/>
    </xf>
    <xf numFmtId="49" fontId="48" fillId="9" borderId="1" xfId="2" applyNumberFormat="1" applyFont="1" applyFill="1" applyBorder="1" applyAlignment="1" applyProtection="1">
      <alignment horizontal="center"/>
    </xf>
    <xf numFmtId="49" fontId="0" fillId="0" borderId="1" xfId="0" applyNumberFormat="1" applyFill="1" applyBorder="1" applyAlignment="1" applyProtection="1">
      <alignment horizontal="center"/>
      <protection hidden="1"/>
    </xf>
    <xf numFmtId="0" fontId="0" fillId="4" borderId="1" xfId="0" applyNumberFormat="1" applyFill="1" applyBorder="1" applyAlignment="1" applyProtection="1">
      <alignment horizontal="center"/>
      <protection hidden="1"/>
    </xf>
    <xf numFmtId="0" fontId="0" fillId="0" borderId="0" xfId="0" applyBorder="1" applyAlignment="1" applyProtection="1">
      <alignment horizontal="left" vertical="center"/>
    </xf>
    <xf numFmtId="0" fontId="2" fillId="0" borderId="1" xfId="0" applyFont="1" applyFill="1" applyBorder="1" applyProtection="1"/>
    <xf numFmtId="0" fontId="2" fillId="0" borderId="18" xfId="0" applyFont="1" applyBorder="1" applyAlignment="1" applyProtection="1">
      <alignment horizontal="center"/>
      <protection hidden="1"/>
    </xf>
    <xf numFmtId="0" fontId="0" fillId="0" borderId="0" xfId="0" applyProtection="1"/>
    <xf numFmtId="0" fontId="0" fillId="0" borderId="38" xfId="0" applyBorder="1" applyProtection="1"/>
    <xf numFmtId="0" fontId="0" fillId="0" borderId="0" xfId="0" applyBorder="1" applyProtection="1"/>
    <xf numFmtId="0" fontId="0" fillId="0" borderId="39" xfId="0" applyBorder="1" applyProtection="1"/>
    <xf numFmtId="0" fontId="0" fillId="0" borderId="0" xfId="0" applyFill="1" applyBorder="1" applyProtection="1"/>
    <xf numFmtId="0" fontId="0" fillId="0" borderId="39" xfId="0" applyFill="1" applyBorder="1" applyProtection="1"/>
    <xf numFmtId="0" fontId="0" fillId="0" borderId="42" xfId="0" applyBorder="1" applyProtection="1"/>
    <xf numFmtId="0" fontId="20" fillId="0" borderId="43" xfId="0" applyFont="1" applyBorder="1" applyProtection="1"/>
    <xf numFmtId="0" fontId="0" fillId="0" borderId="43" xfId="0" applyBorder="1" applyProtection="1"/>
    <xf numFmtId="0" fontId="0" fillId="0" borderId="0" xfId="0" applyFill="1" applyProtection="1"/>
    <xf numFmtId="0" fontId="20" fillId="0" borderId="0" xfId="0" applyFont="1" applyFill="1" applyBorder="1" applyAlignment="1" applyProtection="1"/>
    <xf numFmtId="0" fontId="0" fillId="0" borderId="1" xfId="0" applyFill="1" applyBorder="1" applyProtection="1"/>
    <xf numFmtId="0" fontId="0" fillId="0" borderId="1" xfId="0" applyFill="1" applyBorder="1" applyAlignment="1" applyProtection="1"/>
    <xf numFmtId="0" fontId="4" fillId="0" borderId="1" xfId="2" applyBorder="1" applyProtection="1"/>
    <xf numFmtId="0" fontId="0" fillId="0" borderId="0" xfId="0" applyFill="1" applyBorder="1" applyAlignment="1" applyProtection="1"/>
    <xf numFmtId="2" fontId="4" fillId="0" borderId="1" xfId="2" applyNumberFormat="1" applyBorder="1" applyProtection="1"/>
    <xf numFmtId="0" fontId="2" fillId="0" borderId="1" xfId="0" applyFont="1" applyFill="1" applyBorder="1" applyAlignment="1" applyProtection="1">
      <alignment horizontal="center"/>
    </xf>
    <xf numFmtId="0" fontId="2" fillId="0" borderId="0" xfId="0" applyFont="1" applyFill="1" applyProtection="1"/>
    <xf numFmtId="0" fontId="2" fillId="0" borderId="0" xfId="0" applyFont="1" applyFill="1" applyBorder="1" applyAlignment="1" applyProtection="1"/>
    <xf numFmtId="0" fontId="27" fillId="0" borderId="1" xfId="0" applyFont="1" applyFill="1" applyBorder="1" applyProtection="1"/>
    <xf numFmtId="0" fontId="20" fillId="0" borderId="1" xfId="0" applyFont="1" applyFill="1" applyBorder="1" applyAlignment="1" applyProtection="1"/>
    <xf numFmtId="0" fontId="0" fillId="0" borderId="7" xfId="0" applyFill="1" applyBorder="1" applyProtection="1"/>
    <xf numFmtId="49" fontId="0" fillId="0" borderId="1" xfId="0" applyNumberFormat="1" applyBorder="1" applyProtection="1"/>
    <xf numFmtId="49" fontId="0" fillId="0" borderId="1" xfId="0" applyNumberFormat="1" applyFont="1" applyBorder="1" applyProtection="1"/>
    <xf numFmtId="49" fontId="0" fillId="0" borderId="1" xfId="0" applyNumberFormat="1" applyFill="1" applyBorder="1" applyProtection="1"/>
    <xf numFmtId="0" fontId="2" fillId="0" borderId="1" xfId="0" applyFont="1" applyBorder="1" applyAlignment="1" applyProtection="1">
      <alignment horizontal="center" vertical="center"/>
    </xf>
    <xf numFmtId="0" fontId="2" fillId="0" borderId="38" xfId="0" applyFont="1" applyBorder="1" applyAlignment="1" applyProtection="1">
      <alignment horizontal="center" vertical="center" textRotation="90" wrapText="1"/>
    </xf>
    <xf numFmtId="0" fontId="20" fillId="0" borderId="0" xfId="0" applyFont="1" applyBorder="1" applyAlignment="1" applyProtection="1">
      <alignment horizontal="left" vertical="top"/>
    </xf>
    <xf numFmtId="0" fontId="25" fillId="0" borderId="39" xfId="0" applyFont="1" applyBorder="1" applyAlignment="1" applyProtection="1">
      <alignment horizontal="center" vertical="center" wrapText="1"/>
      <protection hidden="1"/>
    </xf>
    <xf numFmtId="49" fontId="0" fillId="0" borderId="1" xfId="0" applyNumberFormat="1" applyFont="1" applyFill="1" applyBorder="1" applyProtection="1"/>
    <xf numFmtId="49" fontId="0" fillId="7" borderId="1" xfId="0" applyNumberFormat="1" applyFill="1" applyBorder="1" applyAlignment="1" applyProtection="1">
      <alignment horizontal="center"/>
    </xf>
    <xf numFmtId="0" fontId="14" fillId="0" borderId="15"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wrapText="1"/>
      <protection hidden="1"/>
    </xf>
    <xf numFmtId="14" fontId="14" fillId="0" borderId="22" xfId="0" applyNumberFormat="1" applyFont="1" applyBorder="1" applyAlignment="1" applyProtection="1">
      <alignment horizontal="center" vertical="center" wrapText="1"/>
      <protection hidden="1"/>
    </xf>
    <xf numFmtId="0" fontId="0" fillId="0" borderId="44" xfId="0" applyBorder="1" applyProtection="1"/>
    <xf numFmtId="0" fontId="23" fillId="0" borderId="38" xfId="0" applyFont="1" applyBorder="1" applyAlignment="1" applyProtection="1">
      <alignment horizontal="center"/>
      <protection hidden="1"/>
    </xf>
    <xf numFmtId="0" fontId="23" fillId="0" borderId="0" xfId="0" applyFont="1" applyBorder="1" applyAlignment="1" applyProtection="1">
      <alignment horizontal="center"/>
      <protection hidden="1"/>
    </xf>
    <xf numFmtId="0" fontId="0" fillId="0" borderId="0" xfId="0" applyBorder="1" applyAlignment="1" applyProtection="1">
      <alignment horizontal="center"/>
    </xf>
    <xf numFmtId="0" fontId="0" fillId="13" borderId="1" xfId="0" applyFill="1" applyBorder="1" applyAlignment="1" applyProtection="1">
      <alignment horizontal="center" vertical="center"/>
    </xf>
    <xf numFmtId="0" fontId="0" fillId="13" borderId="18" xfId="0" applyFill="1" applyBorder="1" applyAlignment="1" applyProtection="1">
      <alignment horizontal="center" vertical="center"/>
    </xf>
    <xf numFmtId="0" fontId="19" fillId="0" borderId="1" xfId="0" applyFont="1" applyFill="1" applyBorder="1" applyAlignment="1" applyProtection="1">
      <alignment horizontal="center"/>
      <protection hidden="1"/>
    </xf>
    <xf numFmtId="0" fontId="0" fillId="15" borderId="1" xfId="0" applyFill="1" applyBorder="1" applyProtection="1"/>
    <xf numFmtId="0" fontId="14" fillId="0" borderId="15"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wrapText="1"/>
      <protection hidden="1"/>
    </xf>
    <xf numFmtId="0" fontId="0" fillId="0" borderId="0" xfId="0" applyBorder="1" applyAlignment="1" applyProtection="1">
      <alignment horizontal="left" vertical="center"/>
    </xf>
    <xf numFmtId="0" fontId="23" fillId="0" borderId="1" xfId="0" applyFont="1" applyFill="1" applyBorder="1" applyAlignment="1" applyProtection="1">
      <alignment horizontal="center"/>
      <protection hidden="1"/>
    </xf>
    <xf numFmtId="0" fontId="56" fillId="2" borderId="19" xfId="2" applyFont="1" applyFill="1" applyBorder="1" applyAlignment="1" applyProtection="1">
      <alignment vertical="center"/>
    </xf>
    <xf numFmtId="0" fontId="35" fillId="2" borderId="47" xfId="2" applyFont="1" applyFill="1" applyBorder="1" applyProtection="1"/>
    <xf numFmtId="0" fontId="36" fillId="2" borderId="64" xfId="2" applyFont="1" applyFill="1" applyBorder="1" applyAlignment="1" applyProtection="1">
      <alignment vertical="center"/>
    </xf>
    <xf numFmtId="0" fontId="35" fillId="2" borderId="61" xfId="2" applyFont="1" applyFill="1" applyBorder="1" applyProtection="1"/>
    <xf numFmtId="0" fontId="0" fillId="0" borderId="1" xfId="0" applyBorder="1" applyProtection="1"/>
    <xf numFmtId="0" fontId="39" fillId="8" borderId="18" xfId="2" applyFont="1" applyFill="1" applyBorder="1" applyAlignment="1" applyProtection="1">
      <alignment vertical="center"/>
    </xf>
    <xf numFmtId="0" fontId="39" fillId="8" borderId="18" xfId="2" applyFont="1" applyFill="1" applyBorder="1" applyAlignment="1" applyProtection="1">
      <alignment horizontal="center" vertical="center"/>
    </xf>
    <xf numFmtId="0" fontId="39" fillId="8" borderId="17" xfId="2" applyFont="1" applyFill="1" applyBorder="1" applyAlignment="1" applyProtection="1">
      <alignment vertical="center"/>
    </xf>
    <xf numFmtId="0" fontId="39" fillId="8" borderId="1" xfId="2" applyFont="1" applyFill="1" applyBorder="1" applyAlignment="1" applyProtection="1">
      <alignment vertical="top"/>
    </xf>
    <xf numFmtId="0" fontId="39" fillId="8" borderId="17" xfId="2" applyFont="1" applyFill="1" applyBorder="1" applyAlignment="1" applyProtection="1">
      <alignment horizontal="centerContinuous" vertical="center"/>
    </xf>
    <xf numFmtId="0" fontId="39" fillId="8" borderId="20" xfId="2" applyFont="1" applyFill="1" applyBorder="1" applyAlignment="1" applyProtection="1">
      <alignment horizontal="center" vertical="center" wrapText="1"/>
    </xf>
    <xf numFmtId="14" fontId="0" fillId="7" borderId="1" xfId="0" applyNumberFormat="1" applyFill="1" applyBorder="1" applyAlignment="1" applyProtection="1">
      <alignment horizontal="center"/>
    </xf>
    <xf numFmtId="14" fontId="0" fillId="0" borderId="0" xfId="0" applyNumberFormat="1" applyFill="1" applyProtection="1"/>
    <xf numFmtId="14" fontId="0" fillId="0" borderId="0" xfId="0" applyNumberFormat="1" applyProtection="1"/>
    <xf numFmtId="0" fontId="0" fillId="0" borderId="1" xfId="0" applyBorder="1" applyAlignment="1" applyProtection="1">
      <alignment horizontal="left" vertical="center"/>
    </xf>
    <xf numFmtId="14" fontId="0" fillId="4" borderId="1" xfId="0" applyNumberFormat="1" applyFill="1" applyBorder="1" applyAlignment="1" applyProtection="1">
      <alignment horizontal="center" vertical="center"/>
      <protection hidden="1"/>
    </xf>
    <xf numFmtId="14" fontId="0" fillId="0" borderId="1" xfId="0" applyNumberFormat="1" applyFill="1" applyBorder="1" applyAlignment="1" applyProtection="1">
      <alignment horizontal="center" vertical="center"/>
      <protection hidden="1"/>
    </xf>
    <xf numFmtId="14" fontId="0" fillId="5" borderId="1" xfId="0" applyNumberFormat="1" applyFill="1" applyBorder="1" applyAlignment="1" applyProtection="1">
      <alignment horizontal="center" vertical="center"/>
    </xf>
    <xf numFmtId="175" fontId="0" fillId="4" borderId="1" xfId="0" applyNumberFormat="1" applyFill="1" applyBorder="1" applyAlignment="1" applyProtection="1">
      <alignment horizontal="center" vertical="center"/>
      <protection hidden="1"/>
    </xf>
    <xf numFmtId="175" fontId="0" fillId="5" borderId="1" xfId="0" applyNumberFormat="1" applyFill="1" applyBorder="1" applyAlignment="1" applyProtection="1">
      <alignment horizontal="center" vertical="center"/>
    </xf>
    <xf numFmtId="175" fontId="0" fillId="0" borderId="1" xfId="0" applyNumberFormat="1" applyFill="1" applyBorder="1" applyAlignment="1" applyProtection="1">
      <alignment horizontal="center" vertical="center"/>
      <protection hidden="1"/>
    </xf>
    <xf numFmtId="0" fontId="52" fillId="0" borderId="38" xfId="0" applyFont="1" applyBorder="1" applyAlignment="1" applyProtection="1">
      <alignment horizontal="center"/>
    </xf>
    <xf numFmtId="0" fontId="52" fillId="0" borderId="0" xfId="0" applyFont="1" applyBorder="1" applyAlignment="1" applyProtection="1">
      <alignment horizontal="center"/>
    </xf>
    <xf numFmtId="0" fontId="39" fillId="8" borderId="16" xfId="2" applyFont="1" applyFill="1" applyBorder="1" applyAlignment="1" applyProtection="1">
      <alignment horizontal="center" vertical="center"/>
    </xf>
    <xf numFmtId="0" fontId="19" fillId="9" borderId="21" xfId="0" applyFont="1" applyFill="1" applyBorder="1" applyAlignment="1" applyProtection="1">
      <alignment horizontal="center" vertical="center"/>
    </xf>
    <xf numFmtId="0" fontId="35" fillId="2" borderId="0" xfId="2" applyFont="1" applyFill="1" applyBorder="1" applyAlignment="1" applyProtection="1">
      <alignment horizontal="center"/>
    </xf>
    <xf numFmtId="0" fontId="35" fillId="8" borderId="1" xfId="2" applyFont="1" applyFill="1" applyBorder="1" applyAlignment="1" applyProtection="1">
      <alignment horizontal="center" vertical="center"/>
    </xf>
    <xf numFmtId="0" fontId="35" fillId="8" borderId="15" xfId="2" applyFont="1" applyFill="1" applyBorder="1" applyAlignment="1" applyProtection="1">
      <alignment horizontal="center" vertical="center"/>
    </xf>
    <xf numFmtId="0" fontId="41" fillId="2" borderId="0" xfId="2" applyFont="1" applyFill="1" applyBorder="1" applyAlignment="1" applyProtection="1">
      <alignment horizontal="center" vertical="center"/>
    </xf>
    <xf numFmtId="0" fontId="39" fillId="8" borderId="1" xfId="2" applyFont="1" applyFill="1" applyBorder="1" applyAlignment="1" applyProtection="1">
      <alignment horizontal="right" vertical="center" wrapText="1"/>
    </xf>
    <xf numFmtId="0" fontId="39" fillId="8" borderId="1" xfId="2" applyFont="1" applyFill="1" applyBorder="1" applyAlignment="1" applyProtection="1">
      <alignment vertical="center" wrapText="1"/>
    </xf>
    <xf numFmtId="0" fontId="39" fillId="8" borderId="14" xfId="2" applyFont="1" applyFill="1" applyBorder="1" applyAlignment="1" applyProtection="1">
      <alignment vertical="center"/>
    </xf>
    <xf numFmtId="0" fontId="35" fillId="8" borderId="1" xfId="2" applyFont="1" applyFill="1" applyBorder="1" applyAlignment="1" applyProtection="1">
      <alignment horizontal="center" vertical="center" wrapText="1" shrinkToFit="1"/>
    </xf>
    <xf numFmtId="0" fontId="35" fillId="8" borderId="1" xfId="2" applyFont="1" applyFill="1" applyBorder="1" applyAlignment="1" applyProtection="1">
      <alignment vertical="center"/>
    </xf>
    <xf numFmtId="4" fontId="39" fillId="8" borderId="1" xfId="2" applyNumberFormat="1" applyFont="1" applyFill="1" applyBorder="1" applyAlignment="1" applyProtection="1">
      <alignment vertical="center"/>
    </xf>
    <xf numFmtId="0" fontId="35" fillId="8" borderId="15" xfId="2" applyFont="1" applyFill="1" applyBorder="1" applyAlignment="1" applyProtection="1">
      <alignment horizontal="center" vertical="center" wrapText="1" shrinkToFit="1"/>
    </xf>
    <xf numFmtId="0" fontId="39" fillId="8" borderId="15" xfId="2" applyFont="1" applyFill="1" applyBorder="1" applyAlignment="1" applyProtection="1">
      <alignment vertical="center"/>
    </xf>
    <xf numFmtId="0" fontId="35" fillId="8" borderId="15" xfId="2" applyFont="1" applyFill="1" applyBorder="1" applyAlignment="1" applyProtection="1">
      <alignment vertical="center"/>
    </xf>
    <xf numFmtId="4" fontId="39" fillId="8" borderId="15" xfId="2" applyNumberFormat="1" applyFont="1" applyFill="1" applyBorder="1" applyAlignment="1" applyProtection="1">
      <alignment vertical="center"/>
    </xf>
    <xf numFmtId="0" fontId="35" fillId="8" borderId="18" xfId="2" applyFont="1" applyFill="1" applyBorder="1" applyAlignment="1" applyProtection="1">
      <alignment horizontal="center" vertical="center" wrapText="1" shrinkToFit="1"/>
    </xf>
    <xf numFmtId="0" fontId="35" fillId="8" borderId="1" xfId="2" applyFont="1" applyFill="1" applyBorder="1" applyAlignment="1" applyProtection="1">
      <alignment horizontal="center" vertical="top" wrapText="1" shrinkToFit="1"/>
    </xf>
    <xf numFmtId="0" fontId="43" fillId="8" borderId="1" xfId="2" applyFont="1" applyFill="1" applyBorder="1" applyAlignment="1" applyProtection="1">
      <alignment vertical="center"/>
    </xf>
    <xf numFmtId="0" fontId="41" fillId="8" borderId="1" xfId="2" applyFont="1" applyFill="1" applyBorder="1" applyAlignment="1" applyProtection="1">
      <alignment horizontal="center" vertical="center"/>
    </xf>
    <xf numFmtId="0" fontId="43" fillId="8" borderId="17" xfId="2" applyFont="1" applyFill="1" applyBorder="1" applyAlignment="1" applyProtection="1">
      <alignment vertical="center"/>
    </xf>
    <xf numFmtId="0" fontId="35" fillId="8" borderId="18" xfId="2" applyFont="1" applyFill="1" applyBorder="1" applyAlignment="1" applyProtection="1">
      <alignment horizontal="center" vertical="center"/>
    </xf>
    <xf numFmtId="0" fontId="35" fillId="8" borderId="16" xfId="2" applyFont="1" applyFill="1" applyBorder="1" applyAlignment="1" applyProtection="1">
      <alignment horizontal="center" vertical="center"/>
    </xf>
    <xf numFmtId="0" fontId="35" fillId="8" borderId="15" xfId="2" applyFont="1" applyFill="1" applyBorder="1" applyAlignment="1" applyProtection="1">
      <alignment horizontal="center"/>
    </xf>
    <xf numFmtId="49" fontId="6" fillId="9" borderId="1" xfId="2" applyNumberFormat="1" applyFont="1" applyFill="1" applyBorder="1" applyAlignment="1" applyProtection="1">
      <alignment horizontal="center" vertical="center"/>
    </xf>
    <xf numFmtId="0" fontId="19" fillId="9" borderId="18" xfId="0" applyFont="1" applyFill="1" applyBorder="1" applyAlignment="1" applyProtection="1">
      <alignment horizontal="center" vertical="center"/>
    </xf>
    <xf numFmtId="0" fontId="6" fillId="11" borderId="1" xfId="2" applyNumberFormat="1" applyFont="1" applyFill="1" applyBorder="1" applyAlignment="1" applyProtection="1">
      <alignment horizontal="center" vertical="center"/>
    </xf>
    <xf numFmtId="49" fontId="23" fillId="11" borderId="15" xfId="0" applyNumberFormat="1" applyFont="1" applyFill="1" applyBorder="1" applyAlignment="1" applyProtection="1">
      <alignment horizontal="center"/>
    </xf>
    <xf numFmtId="14" fontId="6" fillId="9" borderId="1" xfId="2" applyNumberFormat="1" applyFont="1" applyFill="1" applyBorder="1" applyAlignment="1" applyProtection="1">
      <alignment horizontal="center" vertical="center" wrapText="1"/>
    </xf>
    <xf numFmtId="175" fontId="6" fillId="9" borderId="1" xfId="2" applyNumberFormat="1" applyFont="1" applyFill="1" applyBorder="1" applyAlignment="1" applyProtection="1">
      <alignment horizontal="center" vertical="center" wrapText="1"/>
    </xf>
    <xf numFmtId="49" fontId="6" fillId="9" borderId="1" xfId="2" applyNumberFormat="1" applyFont="1" applyFill="1" applyBorder="1" applyAlignment="1" applyProtection="1">
      <alignment horizontal="right" vertical="center"/>
    </xf>
    <xf numFmtId="14" fontId="6" fillId="9" borderId="15" xfId="2" applyNumberFormat="1" applyFont="1" applyFill="1" applyBorder="1" applyAlignment="1" applyProtection="1">
      <alignment horizontal="center" vertical="center" wrapText="1"/>
    </xf>
    <xf numFmtId="49" fontId="6" fillId="11" borderId="15" xfId="2" applyNumberFormat="1" applyFont="1" applyFill="1" applyBorder="1" applyAlignment="1" applyProtection="1">
      <alignment horizontal="center" vertical="center"/>
    </xf>
    <xf numFmtId="49" fontId="6" fillId="11" borderId="16" xfId="2" applyNumberFormat="1" applyFont="1" applyFill="1" applyBorder="1" applyAlignment="1" applyProtection="1">
      <alignment horizontal="center" vertical="center"/>
    </xf>
    <xf numFmtId="49" fontId="6" fillId="9" borderId="18" xfId="2" applyNumberFormat="1" applyFont="1" applyFill="1" applyBorder="1" applyAlignment="1" applyProtection="1">
      <alignment horizontal="right" vertical="center"/>
    </xf>
    <xf numFmtId="0" fontId="35" fillId="2" borderId="1" xfId="2" applyFont="1" applyFill="1" applyBorder="1" applyProtection="1"/>
    <xf numFmtId="0" fontId="35" fillId="2" borderId="17" xfId="2" applyFont="1" applyFill="1" applyBorder="1" applyProtection="1"/>
    <xf numFmtId="0" fontId="35" fillId="2" borderId="1" xfId="2" applyFont="1" applyFill="1" applyBorder="1" applyAlignment="1" applyProtection="1"/>
    <xf numFmtId="49" fontId="6" fillId="9" borderId="18" xfId="2" applyNumberFormat="1" applyFont="1" applyFill="1" applyBorder="1" applyAlignment="1" applyProtection="1">
      <alignment horizontal="center" vertical="center" wrapText="1" shrinkToFit="1"/>
    </xf>
    <xf numFmtId="0" fontId="35" fillId="2" borderId="17" xfId="2" applyFont="1" applyFill="1" applyBorder="1" applyAlignment="1" applyProtection="1"/>
    <xf numFmtId="0" fontId="19" fillId="9" borderId="15" xfId="0" applyFont="1" applyFill="1" applyBorder="1" applyAlignment="1" applyProtection="1">
      <alignment horizontal="center" vertical="center"/>
    </xf>
    <xf numFmtId="0" fontId="39" fillId="2" borderId="1" xfId="2" applyFont="1" applyFill="1" applyBorder="1" applyAlignment="1" applyProtection="1">
      <alignment horizontal="center" vertical="center" wrapText="1"/>
    </xf>
    <xf numFmtId="0" fontId="35" fillId="2" borderId="1" xfId="2" applyFont="1" applyFill="1" applyBorder="1" applyAlignment="1" applyProtection="1">
      <alignment horizontal="left" vertical="center"/>
    </xf>
    <xf numFmtId="4" fontId="39" fillId="2" borderId="1" xfId="2" applyNumberFormat="1" applyFont="1" applyFill="1" applyBorder="1" applyAlignment="1" applyProtection="1">
      <alignment horizontal="left" vertical="center"/>
    </xf>
    <xf numFmtId="4" fontId="39" fillId="2" borderId="1" xfId="2" applyNumberFormat="1" applyFont="1" applyFill="1" applyBorder="1" applyAlignment="1" applyProtection="1">
      <alignment vertical="center"/>
    </xf>
    <xf numFmtId="4" fontId="39" fillId="2" borderId="1" xfId="2" applyNumberFormat="1" applyFont="1" applyFill="1" applyBorder="1" applyAlignment="1" applyProtection="1">
      <alignment horizontal="center" vertical="center"/>
    </xf>
    <xf numFmtId="4" fontId="35" fillId="2" borderId="1" xfId="2" applyNumberFormat="1" applyFont="1" applyFill="1" applyBorder="1" applyAlignment="1" applyProtection="1">
      <alignment vertical="center"/>
    </xf>
    <xf numFmtId="0" fontId="35" fillId="2" borderId="1" xfId="2" applyFont="1" applyFill="1" applyBorder="1" applyAlignment="1" applyProtection="1">
      <alignment vertical="center"/>
    </xf>
    <xf numFmtId="0" fontId="6" fillId="9" borderId="1" xfId="2" applyFont="1" applyFill="1" applyBorder="1" applyAlignment="1" applyProtection="1">
      <alignment horizontal="center" vertical="center"/>
    </xf>
    <xf numFmtId="0" fontId="19" fillId="9" borderId="16" xfId="0" applyFont="1" applyFill="1" applyBorder="1" applyAlignment="1" applyProtection="1">
      <alignment horizontal="center" vertical="center"/>
    </xf>
    <xf numFmtId="0" fontId="39" fillId="2" borderId="17" xfId="2" applyFont="1" applyFill="1" applyBorder="1" applyAlignment="1" applyProtection="1">
      <alignment horizontal="center" vertical="center" wrapText="1"/>
    </xf>
    <xf numFmtId="4" fontId="39" fillId="2" borderId="18" xfId="2" applyNumberFormat="1" applyFont="1" applyFill="1" applyBorder="1" applyAlignment="1" applyProtection="1">
      <alignment vertical="center"/>
    </xf>
    <xf numFmtId="0" fontId="35" fillId="2" borderId="18" xfId="2" applyFont="1" applyFill="1" applyBorder="1" applyAlignment="1" applyProtection="1">
      <alignment vertical="center"/>
    </xf>
    <xf numFmtId="0" fontId="35" fillId="2" borderId="18" xfId="2" applyFont="1" applyFill="1" applyBorder="1" applyProtection="1"/>
    <xf numFmtId="0" fontId="36" fillId="8" borderId="15" xfId="2" applyFont="1" applyFill="1" applyBorder="1" applyAlignment="1" applyProtection="1">
      <alignment horizontal="center" vertical="center" wrapText="1" shrinkToFit="1"/>
    </xf>
    <xf numFmtId="49" fontId="6" fillId="11" borderId="1" xfId="2" applyNumberFormat="1" applyFont="1" applyFill="1" applyBorder="1" applyAlignment="1" applyProtection="1">
      <alignment horizontal="right" vertical="center"/>
    </xf>
    <xf numFmtId="49" fontId="6" fillId="11" borderId="18" xfId="2" applyNumberFormat="1" applyFont="1" applyFill="1" applyBorder="1" applyAlignment="1" applyProtection="1">
      <alignment horizontal="right" vertical="center"/>
    </xf>
    <xf numFmtId="0" fontId="6" fillId="11" borderId="1" xfId="2" applyFont="1" applyFill="1" applyBorder="1" applyAlignment="1" applyProtection="1">
      <alignment horizontal="center" vertical="center"/>
    </xf>
    <xf numFmtId="0" fontId="19" fillId="9" borderId="17" xfId="0" applyFont="1" applyFill="1" applyBorder="1" applyAlignment="1" applyProtection="1">
      <alignment horizontal="center" vertical="center"/>
    </xf>
    <xf numFmtId="0" fontId="35" fillId="8" borderId="15" xfId="2" applyFont="1" applyFill="1" applyBorder="1" applyAlignment="1" applyProtection="1">
      <alignment horizontal="center" vertical="center" wrapText="1"/>
    </xf>
    <xf numFmtId="0" fontId="35" fillId="8" borderId="16" xfId="2" applyFont="1" applyFill="1" applyBorder="1" applyAlignment="1" applyProtection="1">
      <alignment horizontal="center" vertical="center" wrapText="1"/>
    </xf>
    <xf numFmtId="0" fontId="35" fillId="8" borderId="14" xfId="2" applyFont="1" applyFill="1" applyBorder="1" applyAlignment="1" applyProtection="1">
      <alignment horizontal="center"/>
    </xf>
    <xf numFmtId="0" fontId="35" fillId="8" borderId="15" xfId="2" applyFont="1" applyFill="1" applyBorder="1" applyAlignment="1" applyProtection="1">
      <alignment horizontal="center" wrapText="1"/>
    </xf>
    <xf numFmtId="49" fontId="6" fillId="9" borderId="18" xfId="2" applyNumberFormat="1" applyFont="1" applyFill="1" applyBorder="1" applyAlignment="1" applyProtection="1">
      <alignment horizontal="center" vertical="center"/>
    </xf>
    <xf numFmtId="0" fontId="19" fillId="9" borderId="4" xfId="0" applyFont="1" applyFill="1" applyBorder="1" applyAlignment="1" applyProtection="1">
      <alignment horizontal="center" vertical="center"/>
    </xf>
    <xf numFmtId="0" fontId="35" fillId="2" borderId="1" xfId="2" applyFont="1" applyFill="1" applyBorder="1" applyAlignment="1" applyProtection="1">
      <alignment horizontal="center" vertical="center"/>
    </xf>
    <xf numFmtId="9" fontId="0" fillId="0" borderId="1" xfId="0" applyNumberFormat="1" applyBorder="1" applyAlignment="1" applyProtection="1">
      <alignment horizontal="center"/>
    </xf>
    <xf numFmtId="49" fontId="23" fillId="11" borderId="1" xfId="0" applyNumberFormat="1" applyFont="1" applyFill="1" applyBorder="1" applyAlignment="1" applyProtection="1">
      <alignment horizontal="center"/>
    </xf>
    <xf numFmtId="0" fontId="47" fillId="9" borderId="1" xfId="2" applyFont="1" applyFill="1" applyBorder="1" applyAlignment="1" applyProtection="1">
      <alignment horizontal="center" vertical="center"/>
    </xf>
    <xf numFmtId="0" fontId="39" fillId="8" borderId="1" xfId="2" applyFont="1" applyFill="1" applyBorder="1" applyAlignment="1" applyProtection="1">
      <alignment horizontal="center" vertical="center"/>
    </xf>
    <xf numFmtId="0" fontId="39" fillId="8" borderId="15" xfId="2" applyFont="1" applyFill="1" applyBorder="1" applyAlignment="1" applyProtection="1">
      <alignment horizontal="center" vertical="center"/>
    </xf>
    <xf numFmtId="0" fontId="39" fillId="8" borderId="17" xfId="2" applyFont="1" applyFill="1" applyBorder="1" applyAlignment="1" applyProtection="1">
      <alignment horizontal="center" vertical="center" wrapText="1"/>
    </xf>
    <xf numFmtId="49" fontId="48" fillId="9" borderId="1" xfId="2" applyNumberFormat="1" applyFont="1" applyFill="1" applyBorder="1" applyAlignment="1" applyProtection="1">
      <alignment horizontal="center" vertical="center"/>
    </xf>
    <xf numFmtId="0" fontId="39" fillId="8" borderId="20" xfId="2" applyFont="1" applyFill="1" applyBorder="1" applyAlignment="1" applyProtection="1">
      <alignment horizontal="center" vertical="center" wrapText="1"/>
    </xf>
    <xf numFmtId="0" fontId="39" fillId="8" borderId="17" xfId="2" applyFont="1" applyFill="1" applyBorder="1" applyAlignment="1" applyProtection="1">
      <alignment horizontal="left" vertical="center"/>
    </xf>
    <xf numFmtId="0" fontId="39" fillId="8" borderId="1" xfId="2" applyFont="1" applyFill="1" applyBorder="1" applyAlignment="1" applyProtection="1">
      <alignment horizontal="center" vertical="center" wrapText="1"/>
    </xf>
    <xf numFmtId="0" fontId="39" fillId="8" borderId="18" xfId="2" applyFont="1" applyFill="1" applyBorder="1" applyAlignment="1" applyProtection="1">
      <alignment horizontal="center" vertical="center"/>
    </xf>
    <xf numFmtId="0" fontId="35" fillId="8" borderId="1" xfId="2" applyFont="1" applyFill="1" applyBorder="1" applyAlignment="1" applyProtection="1">
      <alignment horizontal="center" vertical="center"/>
    </xf>
    <xf numFmtId="0" fontId="35" fillId="8" borderId="15" xfId="2" applyFont="1" applyFill="1" applyBorder="1" applyAlignment="1" applyProtection="1">
      <alignment horizontal="center" vertical="center"/>
    </xf>
    <xf numFmtId="49" fontId="6" fillId="11" borderId="1" xfId="2" applyNumberFormat="1" applyFont="1" applyFill="1" applyBorder="1" applyAlignment="1" applyProtection="1">
      <alignment horizontal="center" vertical="center"/>
    </xf>
    <xf numFmtId="49" fontId="6" fillId="11" borderId="18" xfId="2" applyNumberFormat="1" applyFont="1" applyFill="1" applyBorder="1" applyAlignment="1" applyProtection="1">
      <alignment horizontal="center" vertical="center"/>
    </xf>
    <xf numFmtId="49" fontId="6" fillId="9" borderId="1" xfId="2" applyNumberFormat="1" applyFont="1" applyFill="1" applyBorder="1" applyAlignment="1" applyProtection="1">
      <alignment horizontal="center" vertical="center"/>
    </xf>
    <xf numFmtId="0" fontId="39" fillId="8" borderId="1" xfId="2" applyFont="1" applyFill="1" applyBorder="1" applyAlignment="1" applyProtection="1">
      <alignment horizontal="center" vertical="center"/>
    </xf>
    <xf numFmtId="49" fontId="6" fillId="9" borderId="1" xfId="2" applyNumberFormat="1" applyFont="1" applyFill="1" applyBorder="1" applyAlignment="1" applyProtection="1">
      <alignment horizontal="center"/>
    </xf>
    <xf numFmtId="0" fontId="35" fillId="8" borderId="1" xfId="2" applyFont="1" applyFill="1" applyBorder="1" applyAlignment="1" applyProtection="1">
      <alignment horizontal="center" vertical="center"/>
    </xf>
    <xf numFmtId="0" fontId="39" fillId="8" borderId="17" xfId="2" applyFont="1" applyFill="1" applyBorder="1" applyAlignment="1" applyProtection="1">
      <alignment horizontal="center" vertical="center" wrapText="1"/>
    </xf>
    <xf numFmtId="0" fontId="41" fillId="2" borderId="0" xfId="2" applyFont="1" applyFill="1" applyBorder="1" applyAlignment="1" applyProtection="1">
      <alignment horizontal="left" vertical="center"/>
    </xf>
    <xf numFmtId="0" fontId="39" fillId="8" borderId="17" xfId="2" applyFont="1" applyFill="1" applyBorder="1" applyAlignment="1" applyProtection="1">
      <alignment horizontal="center" vertical="center"/>
    </xf>
    <xf numFmtId="0" fontId="35" fillId="8" borderId="18" xfId="2" applyFont="1" applyFill="1" applyBorder="1" applyAlignment="1" applyProtection="1">
      <alignment horizontal="center" vertical="center"/>
    </xf>
    <xf numFmtId="0" fontId="39" fillId="8" borderId="15" xfId="2" applyFont="1" applyFill="1" applyBorder="1" applyAlignment="1" applyProtection="1">
      <alignment horizontal="center" vertical="center"/>
    </xf>
    <xf numFmtId="0" fontId="35" fillId="8" borderId="1" xfId="2" applyFont="1" applyFill="1" applyBorder="1" applyAlignment="1" applyProtection="1">
      <alignment horizontal="center"/>
    </xf>
    <xf numFmtId="0" fontId="39" fillId="8" borderId="20" xfId="2" applyFont="1" applyFill="1" applyBorder="1" applyAlignment="1" applyProtection="1">
      <alignment horizontal="center" vertical="center" wrapText="1"/>
    </xf>
    <xf numFmtId="0" fontId="6" fillId="9" borderId="79" xfId="2" applyNumberFormat="1" applyFont="1" applyFill="1" applyBorder="1" applyAlignment="1" applyProtection="1">
      <alignment horizontal="center" vertical="center"/>
    </xf>
    <xf numFmtId="0" fontId="6" fillId="9" borderId="86" xfId="2" applyNumberFormat="1" applyFont="1" applyFill="1" applyBorder="1" applyAlignment="1" applyProtection="1">
      <alignment horizontal="center" vertical="center"/>
    </xf>
    <xf numFmtId="0" fontId="6" fillId="9" borderId="87" xfId="2" applyNumberFormat="1" applyFont="1" applyFill="1" applyBorder="1" applyAlignment="1" applyProtection="1">
      <alignment horizontal="center" vertical="center"/>
    </xf>
    <xf numFmtId="0" fontId="6" fillId="9" borderId="88" xfId="2" applyNumberFormat="1" applyFont="1" applyFill="1" applyBorder="1" applyAlignment="1" applyProtection="1">
      <alignment horizontal="center" vertical="center"/>
    </xf>
    <xf numFmtId="0" fontId="6" fillId="9" borderId="89" xfId="2" applyNumberFormat="1" applyFont="1" applyFill="1" applyBorder="1" applyAlignment="1" applyProtection="1">
      <alignment horizontal="center" vertical="center"/>
    </xf>
    <xf numFmtId="49" fontId="6" fillId="9" borderId="86" xfId="2" applyNumberFormat="1" applyFont="1" applyFill="1" applyBorder="1" applyAlignment="1" applyProtection="1">
      <alignment horizontal="center" vertical="center"/>
    </xf>
    <xf numFmtId="164" fontId="6" fillId="9" borderId="90" xfId="1" applyNumberFormat="1" applyFont="1" applyFill="1" applyBorder="1" applyAlignment="1" applyProtection="1">
      <alignment horizontal="right" vertical="center"/>
    </xf>
    <xf numFmtId="164" fontId="6" fillId="9" borderId="91" xfId="1" applyNumberFormat="1" applyFont="1" applyFill="1" applyBorder="1" applyAlignment="1" applyProtection="1">
      <alignment horizontal="right" vertical="center"/>
    </xf>
    <xf numFmtId="164" fontId="6" fillId="9" borderId="92" xfId="1" applyNumberFormat="1" applyFont="1" applyFill="1" applyBorder="1" applyAlignment="1" applyProtection="1">
      <alignment horizontal="right" vertical="center"/>
    </xf>
    <xf numFmtId="164" fontId="6" fillId="9" borderId="93" xfId="1" applyNumberFormat="1" applyFont="1" applyFill="1" applyBorder="1" applyAlignment="1" applyProtection="1">
      <alignment horizontal="right" vertical="center"/>
    </xf>
    <xf numFmtId="164" fontId="6" fillId="9" borderId="94" xfId="1" applyNumberFormat="1" applyFont="1" applyFill="1" applyBorder="1" applyAlignment="1" applyProtection="1">
      <alignment horizontal="right" vertical="center"/>
    </xf>
    <xf numFmtId="164" fontId="6" fillId="9" borderId="95" xfId="1" applyNumberFormat="1" applyFont="1" applyFill="1" applyBorder="1" applyAlignment="1" applyProtection="1">
      <alignment horizontal="right" vertical="center"/>
    </xf>
    <xf numFmtId="164" fontId="48" fillId="9" borderId="77" xfId="1" applyNumberFormat="1" applyFont="1" applyFill="1" applyBorder="1" applyAlignment="1" applyProtection="1">
      <alignment horizontal="right" vertical="center"/>
    </xf>
    <xf numFmtId="164" fontId="48" fillId="9" borderId="77" xfId="2" applyNumberFormat="1" applyFont="1" applyFill="1" applyBorder="1" applyAlignment="1" applyProtection="1">
      <alignment horizontal="right" vertical="center"/>
    </xf>
    <xf numFmtId="164" fontId="48" fillId="9" borderId="78" xfId="2" applyNumberFormat="1" applyFont="1" applyFill="1" applyBorder="1" applyAlignment="1" applyProtection="1">
      <alignment horizontal="right" vertical="center"/>
    </xf>
    <xf numFmtId="164" fontId="48" fillId="9" borderId="80" xfId="2" applyNumberFormat="1" applyFont="1" applyFill="1" applyBorder="1" applyAlignment="1" applyProtection="1">
      <alignment horizontal="right" vertical="center"/>
    </xf>
    <xf numFmtId="49" fontId="36" fillId="9" borderId="90" xfId="2" applyNumberFormat="1" applyFont="1" applyFill="1" applyBorder="1" applyAlignment="1" applyProtection="1">
      <alignment horizontal="center" vertical="center"/>
    </xf>
    <xf numFmtId="49" fontId="36" fillId="9" borderId="91" xfId="2" applyNumberFormat="1" applyFont="1" applyFill="1" applyBorder="1" applyAlignment="1" applyProtection="1">
      <alignment horizontal="center" vertical="center"/>
    </xf>
    <xf numFmtId="49" fontId="36" fillId="9" borderId="92" xfId="2" applyNumberFormat="1" applyFont="1" applyFill="1" applyBorder="1" applyAlignment="1" applyProtection="1">
      <alignment horizontal="center" vertical="center"/>
    </xf>
    <xf numFmtId="164" fontId="48" fillId="9" borderId="81" xfId="1" applyNumberFormat="1" applyFont="1" applyFill="1" applyBorder="1" applyAlignment="1" applyProtection="1">
      <alignment horizontal="right" vertical="center"/>
    </xf>
    <xf numFmtId="164" fontId="48" fillId="9" borderId="84" xfId="2" applyNumberFormat="1" applyFont="1" applyFill="1" applyBorder="1" applyAlignment="1" applyProtection="1">
      <alignment horizontal="right" vertical="center"/>
    </xf>
    <xf numFmtId="164" fontId="48" fillId="9" borderId="82" xfId="1" applyNumberFormat="1" applyFont="1" applyFill="1" applyBorder="1" applyAlignment="1" applyProtection="1">
      <alignment horizontal="right" vertical="center"/>
    </xf>
    <xf numFmtId="164" fontId="48" fillId="9" borderId="85" xfId="2" applyNumberFormat="1" applyFont="1" applyFill="1" applyBorder="1" applyAlignment="1" applyProtection="1">
      <alignment horizontal="right" vertical="center"/>
    </xf>
    <xf numFmtId="164" fontId="48" fillId="9" borderId="82" xfId="2" applyNumberFormat="1" applyFont="1" applyFill="1" applyBorder="1" applyAlignment="1" applyProtection="1">
      <alignment horizontal="right" vertical="center"/>
    </xf>
    <xf numFmtId="164" fontId="48" fillId="9" borderId="83" xfId="2" applyNumberFormat="1" applyFont="1" applyFill="1" applyBorder="1" applyAlignment="1" applyProtection="1">
      <alignment horizontal="right" vertical="center"/>
    </xf>
    <xf numFmtId="164" fontId="48" fillId="9" borderId="86" xfId="2" applyNumberFormat="1" applyFont="1" applyFill="1" applyBorder="1" applyAlignment="1" applyProtection="1">
      <alignment horizontal="right" vertical="center"/>
    </xf>
    <xf numFmtId="49" fontId="39" fillId="9" borderId="90" xfId="2" applyNumberFormat="1" applyFont="1" applyFill="1" applyBorder="1" applyAlignment="1" applyProtection="1">
      <alignment horizontal="center" vertical="center"/>
    </xf>
    <xf numFmtId="49" fontId="39" fillId="9" borderId="91" xfId="2" applyNumberFormat="1" applyFont="1" applyFill="1" applyBorder="1" applyAlignment="1" applyProtection="1">
      <alignment horizontal="center" vertical="center"/>
    </xf>
    <xf numFmtId="49" fontId="39" fillId="9" borderId="92" xfId="2" applyNumberFormat="1" applyFont="1" applyFill="1" applyBorder="1" applyAlignment="1" applyProtection="1">
      <alignment horizontal="center" vertical="center"/>
    </xf>
    <xf numFmtId="0" fontId="39" fillId="9" borderId="93" xfId="2" applyFont="1" applyFill="1" applyBorder="1" applyAlignment="1" applyProtection="1">
      <alignment vertical="center"/>
    </xf>
    <xf numFmtId="0" fontId="39" fillId="9" borderId="94" xfId="2" applyFont="1" applyFill="1" applyBorder="1" applyAlignment="1" applyProtection="1">
      <alignment vertical="center"/>
    </xf>
    <xf numFmtId="0" fontId="39" fillId="9" borderId="95" xfId="2" applyFont="1" applyFill="1" applyBorder="1" applyAlignment="1" applyProtection="1">
      <alignment vertical="center"/>
    </xf>
    <xf numFmtId="164" fontId="48" fillId="9" borderId="81" xfId="2" applyNumberFormat="1" applyFont="1" applyFill="1" applyBorder="1" applyAlignment="1" applyProtection="1">
      <alignment horizontal="right" vertical="center"/>
    </xf>
    <xf numFmtId="0" fontId="35" fillId="8" borderId="24" xfId="2" applyFont="1" applyFill="1" applyBorder="1" applyAlignment="1" applyProtection="1">
      <alignment horizontal="center" vertical="top" wrapText="1" shrinkToFit="1"/>
    </xf>
    <xf numFmtId="0" fontId="35" fillId="8" borderId="7" xfId="2" applyFont="1" applyFill="1" applyBorder="1" applyAlignment="1" applyProtection="1">
      <alignment horizontal="center" vertical="top" wrapText="1" shrinkToFit="1"/>
    </xf>
    <xf numFmtId="0" fontId="35" fillId="8" borderId="6" xfId="2" applyFont="1" applyFill="1" applyBorder="1" applyAlignment="1" applyProtection="1">
      <alignment horizontal="center" vertical="center"/>
    </xf>
    <xf numFmtId="0" fontId="35" fillId="8" borderId="66" xfId="2" applyFont="1" applyFill="1" applyBorder="1" applyAlignment="1" applyProtection="1">
      <alignment horizontal="center" vertical="center"/>
    </xf>
    <xf numFmtId="0" fontId="2" fillId="0" borderId="35" xfId="0" applyFont="1" applyBorder="1" applyAlignment="1" applyProtection="1">
      <protection hidden="1"/>
    </xf>
    <xf numFmtId="0" fontId="2" fillId="0" borderId="36" xfId="0" applyFont="1" applyBorder="1" applyAlignment="1" applyProtection="1">
      <protection hidden="1"/>
    </xf>
    <xf numFmtId="0" fontId="2" fillId="0" borderId="37" xfId="0" applyFont="1" applyBorder="1" applyAlignment="1" applyProtection="1">
      <protection hidden="1"/>
    </xf>
    <xf numFmtId="10" fontId="0" fillId="0" borderId="18" xfId="1" applyNumberFormat="1" applyFont="1" applyBorder="1" applyAlignment="1" applyProtection="1">
      <alignment horizontal="center"/>
      <protection hidden="1"/>
    </xf>
    <xf numFmtId="10" fontId="0" fillId="0" borderId="21" xfId="1" applyNumberFormat="1" applyFont="1" applyBorder="1" applyAlignment="1" applyProtection="1">
      <alignment horizontal="center"/>
      <protection hidden="1"/>
    </xf>
    <xf numFmtId="10" fontId="0" fillId="0" borderId="22" xfId="1" applyNumberFormat="1" applyFont="1" applyBorder="1" applyAlignment="1" applyProtection="1">
      <alignment horizontal="center"/>
      <protection hidden="1"/>
    </xf>
    <xf numFmtId="0" fontId="39" fillId="8" borderId="23" xfId="2" applyFont="1" applyFill="1" applyBorder="1" applyAlignment="1" applyProtection="1"/>
    <xf numFmtId="0" fontId="39" fillId="8" borderId="7" xfId="2" applyFont="1" applyFill="1" applyBorder="1" applyAlignment="1" applyProtection="1"/>
    <xf numFmtId="0" fontId="8" fillId="0" borderId="0" xfId="0" applyFont="1" applyFill="1" applyProtection="1">
      <protection hidden="1"/>
    </xf>
    <xf numFmtId="0" fontId="11" fillId="0" borderId="35" xfId="0" applyFont="1" applyFill="1" applyBorder="1" applyProtection="1">
      <protection hidden="1"/>
    </xf>
    <xf numFmtId="0" fontId="35" fillId="2" borderId="0" xfId="2" applyNumberFormat="1" applyFont="1" applyFill="1" applyProtection="1"/>
    <xf numFmtId="0" fontId="39" fillId="8" borderId="1" xfId="2" applyFont="1" applyFill="1" applyBorder="1" applyAlignment="1" applyProtection="1">
      <alignment horizontal="center" vertical="center"/>
    </xf>
    <xf numFmtId="0" fontId="35" fillId="8" borderId="1" xfId="2" applyFont="1" applyFill="1" applyBorder="1" applyAlignment="1" applyProtection="1">
      <alignment horizontal="center" vertical="center"/>
    </xf>
    <xf numFmtId="0" fontId="39" fillId="8" borderId="1" xfId="2" applyFont="1" applyFill="1" applyBorder="1" applyAlignment="1" applyProtection="1">
      <alignment horizontal="center" vertical="center" wrapText="1"/>
    </xf>
    <xf numFmtId="0" fontId="39" fillId="8" borderId="20" xfId="2" applyFont="1" applyFill="1" applyBorder="1" applyAlignment="1" applyProtection="1">
      <alignment horizontal="center" vertical="center" wrapText="1"/>
    </xf>
    <xf numFmtId="49" fontId="6" fillId="11" borderId="1" xfId="2" applyNumberFormat="1" applyFont="1" applyFill="1" applyBorder="1" applyAlignment="1" applyProtection="1">
      <alignment horizontal="center" vertical="center"/>
    </xf>
    <xf numFmtId="49" fontId="6" fillId="11" borderId="18" xfId="2" applyNumberFormat="1" applyFont="1" applyFill="1" applyBorder="1" applyAlignment="1" applyProtection="1">
      <alignment horizontal="center" vertical="center"/>
    </xf>
    <xf numFmtId="0" fontId="39" fillId="8" borderId="17" xfId="2" applyFont="1" applyFill="1" applyBorder="1" applyAlignment="1" applyProtection="1">
      <alignment horizontal="center" vertical="center"/>
    </xf>
    <xf numFmtId="0" fontId="39" fillId="8" borderId="18" xfId="2" applyFont="1" applyFill="1" applyBorder="1" applyAlignment="1" applyProtection="1">
      <alignment horizontal="center" vertical="center"/>
    </xf>
    <xf numFmtId="0" fontId="6" fillId="9" borderId="80" xfId="2" applyNumberFormat="1" applyFont="1" applyFill="1" applyBorder="1" applyAlignment="1" applyProtection="1">
      <alignment horizontal="center" vertical="center"/>
    </xf>
    <xf numFmtId="49" fontId="35" fillId="2" borderId="0" xfId="2" applyNumberFormat="1" applyFont="1" applyFill="1" applyProtection="1"/>
    <xf numFmtId="0" fontId="0" fillId="0" borderId="0" xfId="0" applyNumberFormat="1" applyProtection="1">
      <protection hidden="1"/>
    </xf>
    <xf numFmtId="0" fontId="20" fillId="0" borderId="0" xfId="0" applyFont="1" applyFill="1" applyBorder="1" applyAlignment="1" applyProtection="1">
      <alignment horizontal="left" vertical="top" wrapText="1"/>
    </xf>
    <xf numFmtId="0" fontId="50" fillId="0" borderId="0" xfId="0" applyFont="1" applyBorder="1" applyAlignment="1" applyProtection="1">
      <alignment horizontal="center" vertical="center" wrapText="1"/>
      <protection hidden="1"/>
    </xf>
    <xf numFmtId="0" fontId="50" fillId="0" borderId="39" xfId="0" applyFont="1" applyBorder="1" applyAlignment="1" applyProtection="1">
      <alignment horizontal="center" vertical="center" wrapText="1"/>
      <protection hidden="1"/>
    </xf>
    <xf numFmtId="49" fontId="41" fillId="9" borderId="1" xfId="2" applyNumberFormat="1" applyFont="1" applyFill="1" applyBorder="1" applyAlignment="1" applyProtection="1">
      <alignment horizontal="center" vertical="center" shrinkToFit="1"/>
    </xf>
    <xf numFmtId="49" fontId="6" fillId="9" borderId="1" xfId="2" applyNumberFormat="1" applyFont="1" applyFill="1" applyBorder="1" applyAlignment="1" applyProtection="1">
      <alignment horizontal="center" vertical="center"/>
    </xf>
    <xf numFmtId="49" fontId="6" fillId="9" borderId="18" xfId="2" applyNumberFormat="1" applyFont="1" applyFill="1" applyBorder="1" applyAlignment="1" applyProtection="1">
      <alignment horizontal="center"/>
    </xf>
    <xf numFmtId="176" fontId="6" fillId="9" borderId="1" xfId="2" applyNumberFormat="1" applyFont="1" applyFill="1" applyBorder="1" applyAlignment="1" applyProtection="1">
      <alignment horizontal="center" vertical="center" shrinkToFit="1"/>
    </xf>
    <xf numFmtId="168" fontId="6" fillId="9" borderId="1" xfId="2" applyNumberFormat="1" applyFont="1" applyFill="1" applyBorder="1" applyAlignment="1" applyProtection="1">
      <alignment horizontal="center" vertical="center" shrinkToFit="1"/>
    </xf>
    <xf numFmtId="0" fontId="0" fillId="0" borderId="1" xfId="0" applyBorder="1" applyAlignment="1" applyProtection="1">
      <alignment horizontal="center"/>
      <protection hidden="1"/>
    </xf>
    <xf numFmtId="0" fontId="6" fillId="0" borderId="1" xfId="2" applyNumberFormat="1" applyFont="1" applyFill="1" applyBorder="1" applyAlignment="1" applyProtection="1">
      <alignment horizontal="center" vertical="center"/>
      <protection hidden="1"/>
    </xf>
    <xf numFmtId="2" fontId="49" fillId="0" borderId="1" xfId="2" applyNumberFormat="1" applyFont="1" applyFill="1" applyBorder="1" applyAlignment="1" applyProtection="1">
      <alignment horizontal="center" vertical="center"/>
      <protection hidden="1"/>
    </xf>
    <xf numFmtId="164" fontId="49" fillId="0" borderId="1" xfId="1" applyNumberFormat="1" applyFont="1" applyFill="1" applyBorder="1" applyAlignment="1" applyProtection="1">
      <alignment horizontal="center" vertical="center"/>
      <protection hidden="1"/>
    </xf>
    <xf numFmtId="0" fontId="19" fillId="0" borderId="1" xfId="0" applyFont="1" applyFill="1" applyBorder="1" applyAlignment="1" applyProtection="1">
      <alignment horizontal="center" vertical="center"/>
      <protection hidden="1"/>
    </xf>
    <xf numFmtId="0" fontId="19" fillId="0" borderId="18" xfId="0" applyFont="1" applyFill="1" applyBorder="1" applyAlignment="1" applyProtection="1">
      <alignment horizontal="center" vertical="center"/>
      <protection hidden="1"/>
    </xf>
    <xf numFmtId="0" fontId="35" fillId="2" borderId="0" xfId="2" applyFont="1" applyFill="1" applyAlignment="1" applyProtection="1">
      <alignment wrapText="1"/>
    </xf>
    <xf numFmtId="49" fontId="6" fillId="9" borderId="1" xfId="2" applyNumberFormat="1" applyFont="1" applyFill="1" applyBorder="1" applyAlignment="1" applyProtection="1">
      <alignment horizontal="center" vertical="center"/>
    </xf>
    <xf numFmtId="0" fontId="47" fillId="11" borderId="1" xfId="2" applyFont="1" applyFill="1" applyBorder="1" applyAlignment="1" applyProtection="1">
      <alignment horizontal="center" vertical="center"/>
    </xf>
    <xf numFmtId="49" fontId="0" fillId="7" borderId="1" xfId="0" applyNumberFormat="1" applyFill="1" applyBorder="1" applyProtection="1">
      <protection hidden="1"/>
    </xf>
    <xf numFmtId="14" fontId="0" fillId="7" borderId="1" xfId="0" applyNumberFormat="1" applyFill="1" applyBorder="1" applyAlignment="1" applyProtection="1">
      <alignment horizontal="center"/>
      <protection hidden="1"/>
    </xf>
    <xf numFmtId="49" fontId="6" fillId="11" borderId="1" xfId="2" applyNumberFormat="1" applyFont="1" applyFill="1" applyBorder="1" applyAlignment="1" applyProtection="1">
      <alignment horizontal="center" vertical="center"/>
    </xf>
    <xf numFmtId="49" fontId="6" fillId="11" borderId="18" xfId="2" applyNumberFormat="1" applyFont="1" applyFill="1" applyBorder="1" applyAlignment="1" applyProtection="1">
      <alignment horizontal="center" vertical="center"/>
    </xf>
    <xf numFmtId="0" fontId="60" fillId="12" borderId="1" xfId="0" applyFont="1" applyFill="1" applyBorder="1" applyAlignment="1" applyProtection="1">
      <alignment horizontal="center"/>
    </xf>
    <xf numFmtId="0" fontId="0" fillId="0" borderId="1" xfId="0" applyFont="1" applyFill="1" applyBorder="1" applyAlignment="1" applyProtection="1"/>
    <xf numFmtId="49" fontId="62" fillId="4" borderId="63" xfId="0" applyNumberFormat="1" applyFont="1" applyFill="1" applyBorder="1" applyAlignment="1">
      <alignment horizontal="center" vertical="center"/>
    </xf>
    <xf numFmtId="49" fontId="62" fillId="4" borderId="63" xfId="0" applyNumberFormat="1" applyFont="1" applyFill="1" applyBorder="1" applyAlignment="1">
      <alignment horizontal="center"/>
    </xf>
    <xf numFmtId="49" fontId="65" fillId="16" borderId="100" xfId="0" applyNumberFormat="1" applyFont="1" applyFill="1" applyBorder="1" applyAlignment="1">
      <alignment horizontal="center" vertical="center"/>
    </xf>
    <xf numFmtId="0" fontId="66" fillId="16" borderId="101" xfId="0" applyFont="1" applyFill="1" applyBorder="1" applyAlignment="1">
      <alignment horizontal="center" vertical="center"/>
    </xf>
    <xf numFmtId="49" fontId="65" fillId="16" borderId="101" xfId="0" applyNumberFormat="1" applyFont="1" applyFill="1" applyBorder="1" applyAlignment="1">
      <alignment horizontal="center" vertical="center" wrapText="1"/>
    </xf>
    <xf numFmtId="49" fontId="67" fillId="16" borderId="102" xfId="0" applyNumberFormat="1" applyFont="1" applyFill="1" applyBorder="1" applyAlignment="1">
      <alignment horizontal="left" vertical="center"/>
    </xf>
    <xf numFmtId="49" fontId="65" fillId="16" borderId="103" xfId="0" applyNumberFormat="1" applyFont="1" applyFill="1" applyBorder="1" applyAlignment="1">
      <alignment horizontal="center" vertical="center"/>
    </xf>
    <xf numFmtId="0" fontId="66" fillId="16" borderId="104" xfId="0" applyFont="1" applyFill="1" applyBorder="1" applyAlignment="1">
      <alignment horizontal="center" vertical="center"/>
    </xf>
    <xf numFmtId="49" fontId="65" fillId="16" borderId="104" xfId="0" applyNumberFormat="1" applyFont="1" applyFill="1" applyBorder="1" applyAlignment="1">
      <alignment horizontal="center" vertical="center" wrapText="1"/>
    </xf>
    <xf numFmtId="0" fontId="65" fillId="17" borderId="100" xfId="0" applyFont="1" applyFill="1" applyBorder="1" applyAlignment="1">
      <alignment horizontal="center" vertical="center"/>
    </xf>
    <xf numFmtId="49" fontId="66" fillId="17" borderId="101" xfId="0" applyNumberFormat="1" applyFont="1" applyFill="1" applyBorder="1" applyAlignment="1">
      <alignment horizontal="center" vertical="center"/>
    </xf>
    <xf numFmtId="49" fontId="65" fillId="17" borderId="101" xfId="0" applyNumberFormat="1" applyFont="1" applyFill="1" applyBorder="1" applyAlignment="1">
      <alignment horizontal="center" vertical="center" wrapText="1"/>
    </xf>
    <xf numFmtId="0" fontId="65" fillId="17" borderId="102" xfId="0" applyFont="1" applyFill="1" applyBorder="1" applyAlignment="1">
      <alignment horizontal="left" vertical="center"/>
    </xf>
    <xf numFmtId="0" fontId="65" fillId="17" borderId="103" xfId="0" applyFont="1" applyFill="1" applyBorder="1" applyAlignment="1">
      <alignment horizontal="center" vertical="center"/>
    </xf>
    <xf numFmtId="49" fontId="66" fillId="17" borderId="104" xfId="0" applyNumberFormat="1" applyFont="1" applyFill="1" applyBorder="1" applyAlignment="1">
      <alignment horizontal="center" vertical="center"/>
    </xf>
    <xf numFmtId="49" fontId="65" fillId="17" borderId="104" xfId="0" applyNumberFormat="1" applyFont="1" applyFill="1" applyBorder="1" applyAlignment="1">
      <alignment horizontal="center" vertical="center" wrapText="1"/>
    </xf>
    <xf numFmtId="0" fontId="65" fillId="17" borderId="105" xfId="0" applyFont="1" applyFill="1" applyBorder="1" applyAlignment="1">
      <alignment horizontal="left" vertical="center"/>
    </xf>
    <xf numFmtId="0" fontId="68" fillId="16" borderId="100" xfId="0" applyFont="1" applyFill="1" applyBorder="1" applyAlignment="1">
      <alignment horizontal="center" vertical="center"/>
    </xf>
    <xf numFmtId="49" fontId="69" fillId="16" borderId="101" xfId="0" applyNumberFormat="1" applyFont="1" applyFill="1" applyBorder="1" applyAlignment="1">
      <alignment horizontal="center" vertical="center"/>
    </xf>
    <xf numFmtId="49" fontId="65" fillId="16" borderId="106" xfId="0" applyNumberFormat="1" applyFont="1" applyFill="1" applyBorder="1" applyAlignment="1">
      <alignment horizontal="center" vertical="center" wrapText="1"/>
    </xf>
    <xf numFmtId="0" fontId="70" fillId="16" borderId="102" xfId="0" applyFont="1" applyFill="1" applyBorder="1" applyAlignment="1">
      <alignment horizontal="left" vertical="center"/>
    </xf>
    <xf numFmtId="0" fontId="68" fillId="16" borderId="107" xfId="0" applyFont="1" applyFill="1" applyBorder="1" applyAlignment="1">
      <alignment horizontal="center" vertical="center"/>
    </xf>
    <xf numFmtId="49" fontId="69" fillId="16" borderId="108" xfId="0" applyNumberFormat="1" applyFont="1" applyFill="1" applyBorder="1" applyAlignment="1">
      <alignment horizontal="center" vertical="center"/>
    </xf>
    <xf numFmtId="49" fontId="65" fillId="16" borderId="1" xfId="0" applyNumberFormat="1" applyFont="1" applyFill="1" applyBorder="1" applyAlignment="1">
      <alignment horizontal="center" vertical="center" wrapText="1"/>
    </xf>
    <xf numFmtId="0" fontId="70" fillId="16" borderId="110" xfId="0" applyFont="1" applyFill="1" applyBorder="1" applyAlignment="1">
      <alignment horizontal="left" vertical="center"/>
    </xf>
    <xf numFmtId="49" fontId="68" fillId="16" borderId="99" xfId="0" applyNumberFormat="1" applyFont="1" applyFill="1" applyBorder="1" applyAlignment="1">
      <alignment horizontal="center" vertical="center" wrapText="1"/>
    </xf>
    <xf numFmtId="0" fontId="69" fillId="16" borderId="99" xfId="0" applyFont="1" applyFill="1" applyBorder="1" applyAlignment="1">
      <alignment horizontal="center" vertical="center"/>
    </xf>
    <xf numFmtId="0" fontId="68" fillId="16" borderId="110" xfId="0" applyFont="1" applyFill="1" applyBorder="1" applyAlignment="1">
      <alignment horizontal="left" vertical="center"/>
    </xf>
    <xf numFmtId="0" fontId="67" fillId="16" borderId="110" xfId="0" applyFont="1" applyFill="1" applyBorder="1" applyAlignment="1">
      <alignment horizontal="left" vertical="center"/>
    </xf>
    <xf numFmtId="0" fontId="68" fillId="16" borderId="111" xfId="0" applyFont="1" applyFill="1" applyBorder="1" applyAlignment="1">
      <alignment horizontal="center" vertical="center"/>
    </xf>
    <xf numFmtId="0" fontId="69" fillId="16" borderId="104" xfId="0" applyFont="1" applyFill="1" applyBorder="1" applyAlignment="1">
      <alignment horizontal="center" vertical="center"/>
    </xf>
    <xf numFmtId="49" fontId="68" fillId="16" borderId="104" xfId="0" applyNumberFormat="1" applyFont="1" applyFill="1" applyBorder="1" applyAlignment="1">
      <alignment horizontal="center" vertical="center" wrapText="1"/>
    </xf>
    <xf numFmtId="49" fontId="67" fillId="16" borderId="105" xfId="0" applyNumberFormat="1" applyFont="1" applyFill="1" applyBorder="1" applyAlignment="1">
      <alignment horizontal="left" vertical="center" wrapText="1"/>
    </xf>
    <xf numFmtId="0" fontId="68" fillId="17" borderId="100" xfId="0" applyFont="1" applyFill="1" applyBorder="1" applyAlignment="1">
      <alignment horizontal="center" vertical="center"/>
    </xf>
    <xf numFmtId="0" fontId="69" fillId="17" borderId="112" xfId="0" applyFont="1" applyFill="1" applyBorder="1" applyAlignment="1">
      <alignment horizontal="center" vertical="center"/>
    </xf>
    <xf numFmtId="49" fontId="68" fillId="17" borderId="113" xfId="0" applyNumberFormat="1" applyFont="1" applyFill="1" applyBorder="1" applyAlignment="1">
      <alignment horizontal="center" vertical="center" wrapText="1"/>
    </xf>
    <xf numFmtId="49" fontId="68" fillId="17" borderId="15" xfId="0" applyNumberFormat="1" applyFont="1" applyFill="1" applyBorder="1" applyAlignment="1">
      <alignment horizontal="center" vertical="center" wrapText="1"/>
    </xf>
    <xf numFmtId="0" fontId="67" fillId="17" borderId="102" xfId="0" applyFont="1" applyFill="1" applyBorder="1" applyAlignment="1">
      <alignment horizontal="left" vertical="center"/>
    </xf>
    <xf numFmtId="0" fontId="68" fillId="17" borderId="114" xfId="0" applyFont="1" applyFill="1" applyBorder="1" applyAlignment="1">
      <alignment horizontal="center" vertical="center"/>
    </xf>
    <xf numFmtId="0" fontId="69" fillId="17" borderId="115" xfId="0" applyFont="1" applyFill="1" applyBorder="1" applyAlignment="1">
      <alignment horizontal="center" vertical="center"/>
    </xf>
    <xf numFmtId="49" fontId="68" fillId="17" borderId="109" xfId="0" applyNumberFormat="1" applyFont="1" applyFill="1" applyBorder="1" applyAlignment="1">
      <alignment horizontal="center" vertical="center" wrapText="1"/>
    </xf>
    <xf numFmtId="0" fontId="68" fillId="17" borderId="110" xfId="0" applyFont="1" applyFill="1" applyBorder="1" applyAlignment="1">
      <alignment horizontal="left" vertical="center"/>
    </xf>
    <xf numFmtId="0" fontId="69" fillId="17" borderId="99" xfId="0" applyFont="1" applyFill="1" applyBorder="1" applyAlignment="1">
      <alignment horizontal="center" vertical="center"/>
    </xf>
    <xf numFmtId="49" fontId="68" fillId="17" borderId="99" xfId="0" applyNumberFormat="1" applyFont="1" applyFill="1" applyBorder="1" applyAlignment="1">
      <alignment horizontal="center" vertical="center" wrapText="1"/>
    </xf>
    <xf numFmtId="49" fontId="67" fillId="17" borderId="110" xfId="0" applyNumberFormat="1" applyFont="1" applyFill="1" applyBorder="1" applyAlignment="1">
      <alignment horizontal="left" vertical="center"/>
    </xf>
    <xf numFmtId="0" fontId="68" fillId="17" borderId="103" xfId="0" applyFont="1" applyFill="1" applyBorder="1" applyAlignment="1">
      <alignment horizontal="center" vertical="center"/>
    </xf>
    <xf numFmtId="0" fontId="69" fillId="17" borderId="104" xfId="0" applyFont="1" applyFill="1" applyBorder="1" applyAlignment="1">
      <alignment horizontal="center" vertical="center"/>
    </xf>
    <xf numFmtId="49" fontId="68" fillId="17" borderId="104" xfId="0" applyNumberFormat="1" applyFont="1" applyFill="1" applyBorder="1" applyAlignment="1">
      <alignment horizontal="center" vertical="center" wrapText="1"/>
    </xf>
    <xf numFmtId="49" fontId="68" fillId="16" borderId="100" xfId="0" applyNumberFormat="1" applyFont="1" applyFill="1" applyBorder="1" applyAlignment="1">
      <alignment horizontal="center" vertical="center"/>
    </xf>
    <xf numFmtId="49" fontId="68" fillId="16" borderId="101" xfId="0" applyNumberFormat="1" applyFont="1" applyFill="1" applyBorder="1" applyAlignment="1">
      <alignment horizontal="center" vertical="center" wrapText="1"/>
    </xf>
    <xf numFmtId="0" fontId="68" fillId="16" borderId="102" xfId="0" applyFont="1" applyFill="1" applyBorder="1" applyAlignment="1">
      <alignment horizontal="left" vertical="center"/>
    </xf>
    <xf numFmtId="49" fontId="68" fillId="16" borderId="114" xfId="0" applyNumberFormat="1" applyFont="1" applyFill="1" applyBorder="1" applyAlignment="1">
      <alignment horizontal="center" vertical="center"/>
    </xf>
    <xf numFmtId="49" fontId="69" fillId="16" borderId="99" xfId="0" applyNumberFormat="1" applyFont="1" applyFill="1" applyBorder="1" applyAlignment="1">
      <alignment horizontal="center" vertical="center"/>
    </xf>
    <xf numFmtId="0" fontId="65" fillId="16" borderId="110" xfId="0" applyFont="1" applyFill="1" applyBorder="1" applyAlignment="1">
      <alignment horizontal="left" vertical="center"/>
    </xf>
    <xf numFmtId="49" fontId="67" fillId="16" borderId="110" xfId="0" applyNumberFormat="1" applyFont="1" applyFill="1" applyBorder="1" applyAlignment="1">
      <alignment horizontal="left" vertical="center"/>
    </xf>
    <xf numFmtId="0" fontId="67" fillId="16" borderId="110" xfId="0" applyFont="1" applyFill="1" applyBorder="1" applyAlignment="1">
      <alignment horizontal="left" vertical="center" wrapText="1"/>
    </xf>
    <xf numFmtId="49" fontId="68" fillId="16" borderId="103" xfId="0" applyNumberFormat="1" applyFont="1" applyFill="1" applyBorder="1" applyAlignment="1">
      <alignment horizontal="center" vertical="center"/>
    </xf>
    <xf numFmtId="49" fontId="69" fillId="16" borderId="104" xfId="0" applyNumberFormat="1" applyFont="1" applyFill="1" applyBorder="1" applyAlignment="1">
      <alignment horizontal="center" vertical="center"/>
    </xf>
    <xf numFmtId="0" fontId="68" fillId="16" borderId="105" xfId="0" applyFont="1" applyFill="1" applyBorder="1" applyAlignment="1">
      <alignment horizontal="left" vertical="center"/>
    </xf>
    <xf numFmtId="49" fontId="68" fillId="17" borderId="100" xfId="0" applyNumberFormat="1" applyFont="1" applyFill="1" applyBorder="1" applyAlignment="1">
      <alignment horizontal="center" vertical="center"/>
    </xf>
    <xf numFmtId="49" fontId="69" fillId="17" borderId="101" xfId="0" applyNumberFormat="1" applyFont="1" applyFill="1" applyBorder="1" applyAlignment="1">
      <alignment horizontal="center" vertical="center"/>
    </xf>
    <xf numFmtId="49" fontId="68" fillId="17" borderId="101" xfId="0" applyNumberFormat="1" applyFont="1" applyFill="1" applyBorder="1" applyAlignment="1">
      <alignment horizontal="center" vertical="center" wrapText="1"/>
    </xf>
    <xf numFmtId="0" fontId="68" fillId="17" borderId="102" xfId="0" applyFont="1" applyFill="1" applyBorder="1" applyAlignment="1">
      <alignment horizontal="left" vertical="center"/>
    </xf>
    <xf numFmtId="49" fontId="68" fillId="17" borderId="107" xfId="0" applyNumberFormat="1" applyFont="1" applyFill="1" applyBorder="1" applyAlignment="1">
      <alignment horizontal="center" vertical="center"/>
    </xf>
    <xf numFmtId="49" fontId="69" fillId="17" borderId="99" xfId="0" applyNumberFormat="1" applyFont="1" applyFill="1" applyBorder="1" applyAlignment="1">
      <alignment horizontal="center" vertical="center"/>
    </xf>
    <xf numFmtId="0" fontId="67" fillId="17" borderId="110" xfId="0" applyFont="1" applyFill="1" applyBorder="1" applyAlignment="1">
      <alignment horizontal="left" vertical="center"/>
    </xf>
    <xf numFmtId="49" fontId="68" fillId="17" borderId="114" xfId="0" applyNumberFormat="1" applyFont="1" applyFill="1" applyBorder="1" applyAlignment="1">
      <alignment horizontal="center" vertical="center"/>
    </xf>
    <xf numFmtId="49" fontId="68" fillId="17" borderId="103" xfId="0" applyNumberFormat="1" applyFont="1" applyFill="1" applyBorder="1" applyAlignment="1">
      <alignment horizontal="center" vertical="center"/>
    </xf>
    <xf numFmtId="49" fontId="69" fillId="17" borderId="104" xfId="0" applyNumberFormat="1" applyFont="1" applyFill="1" applyBorder="1" applyAlignment="1">
      <alignment horizontal="center" vertical="center"/>
    </xf>
    <xf numFmtId="0" fontId="68" fillId="17" borderId="105" xfId="0" applyFont="1" applyFill="1" applyBorder="1" applyAlignment="1">
      <alignment horizontal="left" vertical="center"/>
    </xf>
    <xf numFmtId="0" fontId="67" fillId="16" borderId="102" xfId="0" applyFont="1" applyFill="1" applyBorder="1" applyAlignment="1">
      <alignment horizontal="left" vertical="center"/>
    </xf>
    <xf numFmtId="49" fontId="68" fillId="16" borderId="107" xfId="0" applyNumberFormat="1" applyFont="1" applyFill="1" applyBorder="1" applyAlignment="1">
      <alignment horizontal="center" vertical="center"/>
    </xf>
    <xf numFmtId="49" fontId="68" fillId="16" borderId="108" xfId="0" applyNumberFormat="1" applyFont="1" applyFill="1" applyBorder="1" applyAlignment="1">
      <alignment horizontal="center" vertical="center" wrapText="1"/>
    </xf>
    <xf numFmtId="172" fontId="68" fillId="16" borderId="99" xfId="0" applyNumberFormat="1" applyFont="1" applyFill="1" applyBorder="1" applyAlignment="1">
      <alignment horizontal="center" vertical="center" wrapText="1"/>
    </xf>
    <xf numFmtId="49" fontId="68" fillId="16" borderId="111" xfId="0" applyNumberFormat="1" applyFont="1" applyFill="1" applyBorder="1" applyAlignment="1">
      <alignment horizontal="center" vertical="center"/>
    </xf>
    <xf numFmtId="49" fontId="68" fillId="16" borderId="116" xfId="0" applyNumberFormat="1" applyFont="1" applyFill="1" applyBorder="1" applyAlignment="1">
      <alignment horizontal="center" vertical="center" wrapText="1"/>
    </xf>
    <xf numFmtId="0" fontId="67" fillId="16" borderId="105" xfId="0" applyFont="1" applyFill="1" applyBorder="1" applyAlignment="1">
      <alignment horizontal="left" vertical="center"/>
    </xf>
    <xf numFmtId="49" fontId="68" fillId="17" borderId="14" xfId="0" applyNumberFormat="1" applyFont="1" applyFill="1" applyBorder="1" applyAlignment="1">
      <alignment horizontal="center" vertical="center"/>
    </xf>
    <xf numFmtId="49" fontId="69" fillId="17" borderId="15" xfId="0" applyNumberFormat="1" applyFont="1" applyFill="1" applyBorder="1" applyAlignment="1">
      <alignment horizontal="center" vertical="center"/>
    </xf>
    <xf numFmtId="0" fontId="68" fillId="17" borderId="16" xfId="0" applyFont="1" applyFill="1" applyBorder="1" applyAlignment="1">
      <alignment horizontal="left" vertical="center"/>
    </xf>
    <xf numFmtId="49" fontId="68" fillId="17" borderId="17" xfId="0" applyNumberFormat="1" applyFont="1" applyFill="1" applyBorder="1" applyAlignment="1">
      <alignment horizontal="center" vertical="center"/>
    </xf>
    <xf numFmtId="49" fontId="69" fillId="17" borderId="1" xfId="0" applyNumberFormat="1" applyFont="1" applyFill="1" applyBorder="1" applyAlignment="1">
      <alignment horizontal="center" vertical="center"/>
    </xf>
    <xf numFmtId="49" fontId="68" fillId="17" borderId="1" xfId="0" applyNumberFormat="1" applyFont="1" applyFill="1" applyBorder="1" applyAlignment="1">
      <alignment horizontal="center" vertical="center" wrapText="1"/>
    </xf>
    <xf numFmtId="0" fontId="68" fillId="17" borderId="18" xfId="0" applyFont="1" applyFill="1" applyBorder="1" applyAlignment="1">
      <alignment horizontal="left" vertical="center"/>
    </xf>
    <xf numFmtId="49" fontId="68" fillId="17" borderId="40" xfId="0" applyNumberFormat="1" applyFont="1" applyFill="1" applyBorder="1" applyAlignment="1">
      <alignment horizontal="center" vertical="center"/>
    </xf>
    <xf numFmtId="49" fontId="69" fillId="17" borderId="5" xfId="0" applyNumberFormat="1" applyFont="1" applyFill="1" applyBorder="1" applyAlignment="1">
      <alignment horizontal="center" vertical="center"/>
    </xf>
    <xf numFmtId="49" fontId="68" fillId="17" borderId="5" xfId="0" applyNumberFormat="1" applyFont="1" applyFill="1" applyBorder="1" applyAlignment="1">
      <alignment horizontal="center" vertical="center" wrapText="1"/>
    </xf>
    <xf numFmtId="0" fontId="68" fillId="17" borderId="62" xfId="0" applyFont="1" applyFill="1" applyBorder="1" applyAlignment="1">
      <alignment horizontal="left" vertical="center"/>
    </xf>
    <xf numFmtId="49" fontId="68" fillId="16" borderId="14" xfId="0" applyNumberFormat="1" applyFont="1" applyFill="1" applyBorder="1" applyAlignment="1">
      <alignment horizontal="center" vertical="center"/>
    </xf>
    <xf numFmtId="49" fontId="69" fillId="16" borderId="15" xfId="0" applyNumberFormat="1" applyFont="1" applyFill="1" applyBorder="1" applyAlignment="1">
      <alignment horizontal="center" vertical="center"/>
    </xf>
    <xf numFmtId="49" fontId="68" fillId="16" borderId="15" xfId="0" applyNumberFormat="1" applyFont="1" applyFill="1" applyBorder="1" applyAlignment="1">
      <alignment horizontal="center" vertical="center" wrapText="1"/>
    </xf>
    <xf numFmtId="0" fontId="68" fillId="16" borderId="16" xfId="0" applyFont="1" applyFill="1" applyBorder="1" applyAlignment="1">
      <alignment horizontal="left" vertical="center"/>
    </xf>
    <xf numFmtId="49" fontId="68" fillId="16" borderId="17" xfId="0" applyNumberFormat="1" applyFont="1" applyFill="1" applyBorder="1" applyAlignment="1">
      <alignment horizontal="center" vertical="center"/>
    </xf>
    <xf numFmtId="49" fontId="69" fillId="16" borderId="1" xfId="0" applyNumberFormat="1" applyFont="1" applyFill="1" applyBorder="1" applyAlignment="1">
      <alignment horizontal="center" vertical="center"/>
    </xf>
    <xf numFmtId="49" fontId="68" fillId="16" borderId="1" xfId="0" applyNumberFormat="1" applyFont="1" applyFill="1" applyBorder="1" applyAlignment="1">
      <alignment horizontal="center" vertical="center" wrapText="1"/>
    </xf>
    <xf numFmtId="0" fontId="68" fillId="16" borderId="18" xfId="0" applyFont="1" applyFill="1" applyBorder="1" applyAlignment="1">
      <alignment horizontal="left" vertical="center"/>
    </xf>
    <xf numFmtId="49" fontId="68" fillId="16" borderId="40" xfId="0" applyNumberFormat="1" applyFont="1" applyFill="1" applyBorder="1" applyAlignment="1">
      <alignment horizontal="center" vertical="center"/>
    </xf>
    <xf numFmtId="49" fontId="69" fillId="16" borderId="5" xfId="0" applyNumberFormat="1" applyFont="1" applyFill="1" applyBorder="1" applyAlignment="1">
      <alignment horizontal="center" vertical="center"/>
    </xf>
    <xf numFmtId="49" fontId="68" fillId="16" borderId="5" xfId="0" applyNumberFormat="1" applyFont="1" applyFill="1" applyBorder="1" applyAlignment="1">
      <alignment horizontal="center" vertical="center" wrapText="1"/>
    </xf>
    <xf numFmtId="0" fontId="68" fillId="16" borderId="62" xfId="0" applyFont="1" applyFill="1" applyBorder="1" applyAlignment="1">
      <alignment horizontal="left" vertical="center"/>
    </xf>
    <xf numFmtId="49" fontId="68" fillId="17" borderId="111" xfId="0" applyNumberFormat="1" applyFont="1" applyFill="1" applyBorder="1" applyAlignment="1">
      <alignment horizontal="center" vertical="center"/>
    </xf>
    <xf numFmtId="49" fontId="69" fillId="17" borderId="21" xfId="0" applyNumberFormat="1" applyFont="1" applyFill="1" applyBorder="1" applyAlignment="1">
      <alignment horizontal="center" vertical="center"/>
    </xf>
    <xf numFmtId="49" fontId="68" fillId="17" borderId="117" xfId="0" applyNumberFormat="1" applyFont="1" applyFill="1" applyBorder="1" applyAlignment="1">
      <alignment horizontal="center" vertical="center" wrapText="1"/>
    </xf>
    <xf numFmtId="0" fontId="68" fillId="17" borderId="22" xfId="0" applyFont="1" applyFill="1" applyBorder="1" applyAlignment="1">
      <alignment horizontal="left" vertical="center"/>
    </xf>
    <xf numFmtId="49" fontId="69" fillId="16" borderId="116" xfId="0" applyNumberFormat="1" applyFont="1" applyFill="1" applyBorder="1" applyAlignment="1">
      <alignment horizontal="center" vertical="center"/>
    </xf>
    <xf numFmtId="0" fontId="67" fillId="16" borderId="118" xfId="0" applyFont="1" applyFill="1" applyBorder="1" applyAlignment="1">
      <alignment horizontal="left" vertical="center"/>
    </xf>
    <xf numFmtId="0" fontId="69" fillId="17" borderId="101" xfId="0" applyFont="1" applyFill="1" applyBorder="1" applyAlignment="1">
      <alignment horizontal="center" vertical="center"/>
    </xf>
    <xf numFmtId="49" fontId="68" fillId="17" borderId="119" xfId="0" applyNumberFormat="1" applyFont="1" applyFill="1" applyBorder="1" applyAlignment="1">
      <alignment horizontal="center" vertical="center" wrapText="1"/>
    </xf>
    <xf numFmtId="49" fontId="68" fillId="17" borderId="120" xfId="0" applyNumberFormat="1" applyFont="1" applyFill="1" applyBorder="1" applyAlignment="1">
      <alignment horizontal="center" vertical="center"/>
    </xf>
    <xf numFmtId="0" fontId="69" fillId="17" borderId="121" xfId="0" applyFont="1" applyFill="1" applyBorder="1" applyAlignment="1">
      <alignment horizontal="center" vertical="center"/>
    </xf>
    <xf numFmtId="49" fontId="65" fillId="17" borderId="5" xfId="0" applyNumberFormat="1" applyFont="1" applyFill="1" applyBorder="1" applyAlignment="1">
      <alignment horizontal="center" vertical="center" wrapText="1"/>
    </xf>
    <xf numFmtId="0" fontId="68" fillId="17" borderId="123" xfId="0" applyFont="1" applyFill="1" applyBorder="1" applyAlignment="1">
      <alignment horizontal="left" vertical="center"/>
    </xf>
    <xf numFmtId="0" fontId="69" fillId="16" borderId="15" xfId="0" applyFont="1" applyFill="1" applyBorder="1" applyAlignment="1">
      <alignment horizontal="center" vertical="center"/>
    </xf>
    <xf numFmtId="0" fontId="69" fillId="16" borderId="1" xfId="0" applyFont="1" applyFill="1" applyBorder="1" applyAlignment="1">
      <alignment horizontal="center" vertical="center"/>
    </xf>
    <xf numFmtId="49" fontId="68" fillId="16" borderId="20" xfId="0" applyNumberFormat="1" applyFont="1" applyFill="1" applyBorder="1" applyAlignment="1">
      <alignment horizontal="center" vertical="center"/>
    </xf>
    <xf numFmtId="0" fontId="69" fillId="16" borderId="21" xfId="0" applyFont="1" applyFill="1" applyBorder="1" applyAlignment="1">
      <alignment horizontal="center" vertical="center"/>
    </xf>
    <xf numFmtId="49" fontId="68" fillId="16" borderId="21" xfId="0" applyNumberFormat="1" applyFont="1" applyFill="1" applyBorder="1" applyAlignment="1">
      <alignment horizontal="center" vertical="center" wrapText="1"/>
    </xf>
    <xf numFmtId="0" fontId="67" fillId="16" borderId="22" xfId="0" applyFont="1" applyFill="1" applyBorder="1" applyAlignment="1">
      <alignment horizontal="left" vertical="center"/>
    </xf>
    <xf numFmtId="49" fontId="68" fillId="17" borderId="23" xfId="0" applyNumberFormat="1" applyFont="1" applyFill="1" applyBorder="1" applyAlignment="1">
      <alignment horizontal="center" vertical="center"/>
    </xf>
    <xf numFmtId="0" fontId="69" fillId="17" borderId="124" xfId="0" applyFont="1" applyFill="1" applyBorder="1" applyAlignment="1">
      <alignment horizontal="center" vertical="center"/>
    </xf>
    <xf numFmtId="49" fontId="68" fillId="17" borderId="108" xfId="0" applyNumberFormat="1" applyFont="1" applyFill="1" applyBorder="1" applyAlignment="1">
      <alignment horizontal="center" vertical="center" wrapText="1"/>
    </xf>
    <xf numFmtId="0" fontId="68" fillId="17" borderId="24" xfId="0" applyFont="1" applyFill="1" applyBorder="1" applyAlignment="1">
      <alignment horizontal="left" vertical="center"/>
    </xf>
    <xf numFmtId="0" fontId="69" fillId="17" borderId="109" xfId="0" applyFont="1" applyFill="1" applyBorder="1" applyAlignment="1">
      <alignment horizontal="center" vertical="center"/>
    </xf>
    <xf numFmtId="49" fontId="68" fillId="17" borderId="20" xfId="0" applyNumberFormat="1" applyFont="1" applyFill="1" applyBorder="1" applyAlignment="1">
      <alignment horizontal="center" vertical="center"/>
    </xf>
    <xf numFmtId="0" fontId="69" fillId="17" borderId="125" xfId="0" applyFont="1" applyFill="1" applyBorder="1" applyAlignment="1">
      <alignment horizontal="center" vertical="center"/>
    </xf>
    <xf numFmtId="49" fontId="68" fillId="17" borderId="116" xfId="0" applyNumberFormat="1" applyFont="1" applyFill="1" applyBorder="1" applyAlignment="1">
      <alignment horizontal="center" vertical="center" wrapText="1"/>
    </xf>
    <xf numFmtId="0" fontId="67" fillId="17" borderId="22" xfId="0" applyFont="1" applyFill="1" applyBorder="1" applyAlignment="1">
      <alignment horizontal="left" vertical="center"/>
    </xf>
    <xf numFmtId="49" fontId="68" fillId="16" borderId="126" xfId="0" applyNumberFormat="1" applyFont="1" applyFill="1" applyBorder="1" applyAlignment="1">
      <alignment horizontal="center" vertical="center"/>
    </xf>
    <xf numFmtId="49" fontId="69" fillId="16" borderId="106" xfId="0" applyNumberFormat="1" applyFont="1" applyFill="1" applyBorder="1" applyAlignment="1">
      <alignment horizontal="center" vertical="center"/>
    </xf>
    <xf numFmtId="49" fontId="68" fillId="16" borderId="106" xfId="0" applyNumberFormat="1" applyFont="1" applyFill="1" applyBorder="1" applyAlignment="1">
      <alignment horizontal="center" vertical="center" wrapText="1"/>
    </xf>
    <xf numFmtId="0" fontId="67" fillId="16" borderId="127" xfId="0" applyFont="1" applyFill="1" applyBorder="1" applyAlignment="1">
      <alignment horizontal="left" vertical="center"/>
    </xf>
    <xf numFmtId="0" fontId="69" fillId="17" borderId="15" xfId="0" applyFont="1" applyFill="1" applyBorder="1" applyAlignment="1">
      <alignment horizontal="center" vertical="center"/>
    </xf>
    <xf numFmtId="0" fontId="69" fillId="17" borderId="1" xfId="0" applyFont="1" applyFill="1" applyBorder="1" applyAlignment="1">
      <alignment horizontal="center" vertical="center"/>
    </xf>
    <xf numFmtId="0" fontId="69" fillId="17" borderId="21" xfId="0" applyFont="1" applyFill="1" applyBorder="1" applyAlignment="1">
      <alignment horizontal="center" vertical="center"/>
    </xf>
    <xf numFmtId="49" fontId="68" fillId="17" borderId="21" xfId="0" applyNumberFormat="1" applyFont="1" applyFill="1" applyBorder="1" applyAlignment="1">
      <alignment horizontal="center" vertical="center" wrapText="1"/>
    </xf>
    <xf numFmtId="0" fontId="69" fillId="16" borderId="108" xfId="0" applyFont="1" applyFill="1" applyBorder="1" applyAlignment="1">
      <alignment horizontal="center" vertical="center"/>
    </xf>
    <xf numFmtId="0" fontId="68" fillId="16" borderId="128" xfId="0" applyFont="1" applyFill="1" applyBorder="1" applyAlignment="1">
      <alignment horizontal="left" vertical="center"/>
    </xf>
    <xf numFmtId="0" fontId="68" fillId="16" borderId="99" xfId="0" applyFont="1" applyFill="1" applyBorder="1" applyAlignment="1">
      <alignment horizontal="center" vertical="center" wrapText="1"/>
    </xf>
    <xf numFmtId="0" fontId="69" fillId="16" borderId="125" xfId="0" applyFont="1" applyFill="1" applyBorder="1" applyAlignment="1">
      <alignment horizontal="center" vertical="center"/>
    </xf>
    <xf numFmtId="0" fontId="67" fillId="17" borderId="105" xfId="0" applyFont="1" applyFill="1" applyBorder="1" applyAlignment="1">
      <alignment horizontal="left" vertical="center"/>
    </xf>
    <xf numFmtId="49" fontId="68" fillId="16" borderId="129" xfId="0" applyNumberFormat="1" applyFont="1" applyFill="1" applyBorder="1" applyAlignment="1">
      <alignment horizontal="center" vertical="center"/>
    </xf>
    <xf numFmtId="0" fontId="69" fillId="16" borderId="130" xfId="0" applyFont="1" applyFill="1" applyBorder="1" applyAlignment="1">
      <alignment horizontal="center" vertical="center"/>
    </xf>
    <xf numFmtId="49" fontId="68" fillId="16" borderId="130" xfId="0" applyNumberFormat="1" applyFont="1" applyFill="1" applyBorder="1" applyAlignment="1">
      <alignment horizontal="center" vertical="center" wrapText="1"/>
    </xf>
    <xf numFmtId="49" fontId="67" fillId="16" borderId="131" xfId="0" applyNumberFormat="1" applyFont="1" applyFill="1" applyBorder="1" applyAlignment="1">
      <alignment horizontal="left" vertical="center" wrapText="1"/>
    </xf>
    <xf numFmtId="0" fontId="68" fillId="17" borderId="107" xfId="0" applyFont="1" applyFill="1" applyBorder="1" applyAlignment="1">
      <alignment horizontal="center" vertical="center"/>
    </xf>
    <xf numFmtId="0" fontId="68" fillId="17" borderId="99" xfId="0" applyFont="1" applyFill="1" applyBorder="1" applyAlignment="1">
      <alignment horizontal="center" vertical="center" wrapText="1"/>
    </xf>
    <xf numFmtId="0" fontId="0" fillId="17" borderId="110" xfId="0" applyFill="1" applyBorder="1"/>
    <xf numFmtId="0" fontId="68" fillId="17" borderId="132" xfId="0" applyFont="1" applyFill="1" applyBorder="1" applyAlignment="1">
      <alignment horizontal="center" vertical="center"/>
    </xf>
    <xf numFmtId="0" fontId="69" fillId="17" borderId="133" xfId="0" applyFont="1" applyFill="1" applyBorder="1" applyAlignment="1">
      <alignment horizontal="center" vertical="center"/>
    </xf>
    <xf numFmtId="49" fontId="68" fillId="17" borderId="133" xfId="0" applyNumberFormat="1" applyFont="1" applyFill="1" applyBorder="1" applyAlignment="1">
      <alignment horizontal="center" vertical="center" wrapText="1"/>
    </xf>
    <xf numFmtId="0" fontId="67" fillId="17" borderId="62" xfId="0" applyFont="1" applyFill="1" applyBorder="1" applyAlignment="1">
      <alignment horizontal="left" vertical="center"/>
    </xf>
    <xf numFmtId="0" fontId="67" fillId="16" borderId="16" xfId="0" applyFont="1" applyFill="1" applyBorder="1" applyAlignment="1">
      <alignment horizontal="left" vertical="center"/>
    </xf>
    <xf numFmtId="49" fontId="69" fillId="16" borderId="21" xfId="0" applyNumberFormat="1" applyFont="1" applyFill="1" applyBorder="1" applyAlignment="1">
      <alignment horizontal="center" vertical="center"/>
    </xf>
    <xf numFmtId="49" fontId="68" fillId="17" borderId="132" xfId="0" applyNumberFormat="1" applyFont="1" applyFill="1" applyBorder="1" applyAlignment="1">
      <alignment horizontal="center" vertical="center"/>
    </xf>
    <xf numFmtId="49" fontId="69" fillId="17" borderId="108" xfId="0" applyNumberFormat="1" applyFont="1" applyFill="1" applyBorder="1" applyAlignment="1">
      <alignment horizontal="center" vertical="center"/>
    </xf>
    <xf numFmtId="0" fontId="67" fillId="17" borderId="128" xfId="0" applyFont="1" applyFill="1" applyBorder="1" applyAlignment="1">
      <alignment horizontal="left" vertical="center"/>
    </xf>
    <xf numFmtId="49" fontId="69" fillId="17" borderId="119" xfId="0" applyNumberFormat="1" applyFont="1" applyFill="1" applyBorder="1" applyAlignment="1">
      <alignment horizontal="center" vertical="center"/>
    </xf>
    <xf numFmtId="0" fontId="67" fillId="17" borderId="135" xfId="0" applyFont="1" applyFill="1" applyBorder="1" applyAlignment="1">
      <alignment horizontal="left" vertical="center"/>
    </xf>
    <xf numFmtId="0" fontId="68" fillId="17" borderId="1" xfId="0" applyFont="1" applyFill="1" applyBorder="1" applyAlignment="1">
      <alignment horizontal="center" vertical="center" wrapText="1"/>
    </xf>
    <xf numFmtId="49" fontId="67" fillId="17" borderId="118" xfId="0" applyNumberFormat="1" applyFont="1" applyFill="1" applyBorder="1" applyAlignment="1">
      <alignment horizontal="left" vertical="center"/>
    </xf>
    <xf numFmtId="0" fontId="67" fillId="17" borderId="110" xfId="0" applyFont="1" applyFill="1" applyBorder="1"/>
    <xf numFmtId="0" fontId="68" fillId="17" borderId="110" xfId="0" applyFont="1" applyFill="1" applyBorder="1"/>
    <xf numFmtId="49" fontId="68" fillId="17" borderId="129" xfId="0" applyNumberFormat="1" applyFont="1" applyFill="1" applyBorder="1" applyAlignment="1">
      <alignment horizontal="center" vertical="center"/>
    </xf>
    <xf numFmtId="49" fontId="68" fillId="17" borderId="130" xfId="0" applyNumberFormat="1" applyFont="1" applyFill="1" applyBorder="1" applyAlignment="1">
      <alignment horizontal="center" vertical="center" wrapText="1"/>
    </xf>
    <xf numFmtId="49" fontId="67" fillId="17" borderId="131" xfId="0" applyNumberFormat="1" applyFont="1" applyFill="1" applyBorder="1"/>
    <xf numFmtId="0" fontId="68" fillId="0" borderId="0" xfId="0" applyFont="1" applyAlignment="1">
      <alignment horizontal="center" vertical="center"/>
    </xf>
    <xf numFmtId="0" fontId="69" fillId="0" borderId="0" xfId="0" applyFont="1" applyAlignment="1">
      <alignment horizontal="center" vertical="center"/>
    </xf>
    <xf numFmtId="0" fontId="0" fillId="0" borderId="0" xfId="0" applyAlignment="1">
      <alignment horizontal="center" vertical="center"/>
    </xf>
    <xf numFmtId="0" fontId="65" fillId="17" borderId="101" xfId="0" applyNumberFormat="1" applyFont="1" applyFill="1" applyBorder="1" applyAlignment="1">
      <alignment horizontal="center" vertical="center" wrapText="1"/>
    </xf>
    <xf numFmtId="0" fontId="68" fillId="16" borderId="99" xfId="0" applyNumberFormat="1" applyFont="1" applyFill="1" applyBorder="1" applyAlignment="1">
      <alignment horizontal="center" vertical="center" wrapText="1"/>
    </xf>
    <xf numFmtId="0" fontId="62" fillId="4" borderId="63" xfId="0" applyNumberFormat="1" applyFont="1" applyFill="1" applyBorder="1" applyAlignment="1">
      <alignment horizontal="center" vertical="center"/>
    </xf>
    <xf numFmtId="0" fontId="65" fillId="16" borderId="99" xfId="0" applyNumberFormat="1" applyFont="1" applyFill="1" applyBorder="1" applyAlignment="1">
      <alignment horizontal="center" vertical="center" wrapText="1"/>
    </xf>
    <xf numFmtId="0" fontId="68" fillId="16" borderId="104" xfId="0" applyNumberFormat="1" applyFont="1" applyFill="1" applyBorder="1" applyAlignment="1">
      <alignment horizontal="center" vertical="center" wrapText="1"/>
    </xf>
    <xf numFmtId="0" fontId="68" fillId="17" borderId="113" xfId="0" applyNumberFormat="1" applyFont="1" applyFill="1" applyBorder="1" applyAlignment="1">
      <alignment horizontal="center" vertical="center" wrapText="1"/>
    </xf>
    <xf numFmtId="0" fontId="68" fillId="17" borderId="109" xfId="0" applyNumberFormat="1" applyFont="1" applyFill="1" applyBorder="1" applyAlignment="1">
      <alignment horizontal="center" vertical="center" wrapText="1"/>
    </xf>
    <xf numFmtId="0" fontId="68" fillId="17" borderId="99" xfId="0" applyNumberFormat="1" applyFont="1" applyFill="1" applyBorder="1" applyAlignment="1">
      <alignment horizontal="center" vertical="center" wrapText="1"/>
    </xf>
    <xf numFmtId="0" fontId="68" fillId="17" borderId="104" xfId="0" applyNumberFormat="1" applyFont="1" applyFill="1" applyBorder="1" applyAlignment="1">
      <alignment horizontal="center" vertical="center" wrapText="1"/>
    </xf>
    <xf numFmtId="0" fontId="68" fillId="16" borderId="101" xfId="0" applyNumberFormat="1" applyFont="1" applyFill="1" applyBorder="1" applyAlignment="1">
      <alignment horizontal="center" vertical="center" wrapText="1"/>
    </xf>
    <xf numFmtId="0" fontId="68" fillId="17" borderId="101" xfId="0" applyNumberFormat="1" applyFont="1" applyFill="1" applyBorder="1" applyAlignment="1">
      <alignment horizontal="center" vertical="center" wrapText="1"/>
    </xf>
    <xf numFmtId="0" fontId="68" fillId="17" borderId="15" xfId="0" applyNumberFormat="1" applyFont="1" applyFill="1" applyBorder="1" applyAlignment="1">
      <alignment horizontal="center" vertical="center" wrapText="1"/>
    </xf>
    <xf numFmtId="0" fontId="68" fillId="17" borderId="1" xfId="0" applyNumberFormat="1" applyFont="1" applyFill="1" applyBorder="1" applyAlignment="1">
      <alignment horizontal="center" vertical="center" wrapText="1"/>
    </xf>
    <xf numFmtId="0" fontId="68" fillId="17" borderId="5" xfId="0" applyNumberFormat="1" applyFont="1" applyFill="1" applyBorder="1" applyAlignment="1">
      <alignment horizontal="center" vertical="center" wrapText="1"/>
    </xf>
    <xf numFmtId="0" fontId="68" fillId="16" borderId="15" xfId="0" applyNumberFormat="1" applyFont="1" applyFill="1" applyBorder="1" applyAlignment="1">
      <alignment horizontal="center" vertical="center" wrapText="1"/>
    </xf>
    <xf numFmtId="0" fontId="68" fillId="16" borderId="1" xfId="0" applyNumberFormat="1" applyFont="1" applyFill="1" applyBorder="1" applyAlignment="1">
      <alignment horizontal="center" vertical="center" wrapText="1"/>
    </xf>
    <xf numFmtId="0" fontId="68" fillId="16" borderId="5" xfId="0" applyNumberFormat="1" applyFont="1" applyFill="1" applyBorder="1" applyAlignment="1">
      <alignment horizontal="center" vertical="center" wrapText="1"/>
    </xf>
    <xf numFmtId="0" fontId="68" fillId="17" borderId="108" xfId="0" applyNumberFormat="1" applyFont="1" applyFill="1" applyBorder="1" applyAlignment="1">
      <alignment horizontal="center" vertical="center" wrapText="1"/>
    </xf>
    <xf numFmtId="0" fontId="68" fillId="16" borderId="108" xfId="0" applyNumberFormat="1" applyFont="1" applyFill="1" applyBorder="1" applyAlignment="1">
      <alignment horizontal="center" vertical="center" wrapText="1"/>
    </xf>
    <xf numFmtId="0" fontId="68" fillId="17" borderId="133" xfId="0" applyNumberFormat="1" applyFont="1" applyFill="1" applyBorder="1" applyAlignment="1">
      <alignment horizontal="center" vertical="center" wrapText="1"/>
    </xf>
    <xf numFmtId="0" fontId="68" fillId="17" borderId="130" xfId="0" applyNumberFormat="1" applyFont="1" applyFill="1" applyBorder="1" applyAlignment="1">
      <alignment horizontal="center" vertical="center" wrapText="1"/>
    </xf>
    <xf numFmtId="0" fontId="0" fillId="0" borderId="0" xfId="0" applyNumberFormat="1" applyAlignment="1">
      <alignment horizontal="center" vertical="center"/>
    </xf>
    <xf numFmtId="0" fontId="65" fillId="16" borderId="99" xfId="0" quotePrefix="1" applyNumberFormat="1" applyFont="1" applyFill="1" applyBorder="1" applyAlignment="1">
      <alignment horizontal="center" vertical="center" wrapText="1"/>
    </xf>
    <xf numFmtId="0" fontId="71" fillId="4" borderId="99" xfId="0" applyNumberFormat="1" applyFont="1" applyFill="1" applyBorder="1" applyAlignment="1">
      <alignment horizontal="center" vertical="center" wrapText="1"/>
    </xf>
    <xf numFmtId="0" fontId="71" fillId="4" borderId="116" xfId="0" applyNumberFormat="1" applyFont="1" applyFill="1" applyBorder="1" applyAlignment="1">
      <alignment horizontal="center" vertical="center" wrapText="1"/>
    </xf>
    <xf numFmtId="0" fontId="71" fillId="4" borderId="21" xfId="0" applyNumberFormat="1" applyFont="1" applyFill="1" applyBorder="1" applyAlignment="1">
      <alignment horizontal="center" vertical="center" wrapText="1"/>
    </xf>
    <xf numFmtId="0" fontId="71" fillId="4" borderId="104" xfId="0" applyNumberFormat="1" applyFont="1" applyFill="1" applyBorder="1" applyAlignment="1">
      <alignment horizontal="center" vertical="center" wrapText="1"/>
    </xf>
    <xf numFmtId="0" fontId="71" fillId="4" borderId="106" xfId="0" applyNumberFormat="1" applyFont="1" applyFill="1" applyBorder="1" applyAlignment="1">
      <alignment horizontal="center" vertical="center" wrapText="1"/>
    </xf>
    <xf numFmtId="0" fontId="65" fillId="16" borderId="101" xfId="0" applyNumberFormat="1" applyFont="1" applyFill="1" applyBorder="1" applyAlignment="1">
      <alignment horizontal="center" vertical="center"/>
    </xf>
    <xf numFmtId="0" fontId="65" fillId="16" borderId="104" xfId="0" applyNumberFormat="1" applyFont="1" applyFill="1" applyBorder="1" applyAlignment="1">
      <alignment horizontal="center" vertical="center"/>
    </xf>
    <xf numFmtId="0" fontId="65" fillId="17" borderId="101" xfId="0" applyNumberFormat="1" applyFont="1" applyFill="1" applyBorder="1" applyAlignment="1">
      <alignment horizontal="center" vertical="center"/>
    </xf>
    <xf numFmtId="0" fontId="65" fillId="17" borderId="104" xfId="0" applyNumberFormat="1" applyFont="1" applyFill="1" applyBorder="1" applyAlignment="1">
      <alignment horizontal="center" vertical="center"/>
    </xf>
    <xf numFmtId="0" fontId="68" fillId="16" borderId="101" xfId="0" applyNumberFormat="1" applyFont="1" applyFill="1" applyBorder="1" applyAlignment="1">
      <alignment horizontal="center" vertical="center"/>
    </xf>
    <xf numFmtId="0" fontId="68" fillId="16" borderId="99" xfId="0" applyNumberFormat="1" applyFont="1" applyFill="1" applyBorder="1" applyAlignment="1">
      <alignment horizontal="center" vertical="center"/>
    </xf>
    <xf numFmtId="0" fontId="68" fillId="16" borderId="104" xfId="0" applyNumberFormat="1" applyFont="1" applyFill="1" applyBorder="1" applyAlignment="1">
      <alignment horizontal="center" vertical="center"/>
    </xf>
    <xf numFmtId="0" fontId="68" fillId="17" borderId="101" xfId="0" quotePrefix="1" applyNumberFormat="1" applyFont="1" applyFill="1" applyBorder="1" applyAlignment="1">
      <alignment horizontal="center" vertical="center"/>
    </xf>
    <xf numFmtId="0" fontId="68" fillId="17" borderId="99" xfId="0" quotePrefix="1" applyNumberFormat="1" applyFont="1" applyFill="1" applyBorder="1" applyAlignment="1">
      <alignment horizontal="center" vertical="center"/>
    </xf>
    <xf numFmtId="0" fontId="68" fillId="17" borderId="101" xfId="0" applyNumberFormat="1" applyFont="1" applyFill="1" applyBorder="1" applyAlignment="1">
      <alignment horizontal="center" vertical="center"/>
    </xf>
    <xf numFmtId="0" fontId="68" fillId="17" borderId="99" xfId="0" applyNumberFormat="1" applyFont="1" applyFill="1" applyBorder="1" applyAlignment="1">
      <alignment horizontal="center" vertical="center"/>
    </xf>
    <xf numFmtId="0" fontId="68" fillId="17" borderId="104" xfId="0" applyNumberFormat="1" applyFont="1" applyFill="1" applyBorder="1" applyAlignment="1">
      <alignment horizontal="center" vertical="center"/>
    </xf>
    <xf numFmtId="0" fontId="68" fillId="17" borderId="15" xfId="0" applyNumberFormat="1" applyFont="1" applyFill="1" applyBorder="1" applyAlignment="1">
      <alignment horizontal="center" vertical="center"/>
    </xf>
    <xf numFmtId="0" fontId="68" fillId="16" borderId="15" xfId="0" applyNumberFormat="1" applyFont="1" applyFill="1" applyBorder="1" applyAlignment="1">
      <alignment horizontal="center" vertical="center"/>
    </xf>
    <xf numFmtId="0" fontId="68" fillId="16" borderId="116" xfId="0" applyNumberFormat="1" applyFont="1" applyFill="1" applyBorder="1" applyAlignment="1">
      <alignment horizontal="center" vertical="center"/>
    </xf>
    <xf numFmtId="0" fontId="68" fillId="17" borderId="119" xfId="0" applyNumberFormat="1" applyFont="1" applyFill="1" applyBorder="1" applyAlignment="1">
      <alignment horizontal="center" vertical="center"/>
    </xf>
    <xf numFmtId="0" fontId="68" fillId="16" borderId="1" xfId="0" applyNumberFormat="1" applyFont="1" applyFill="1" applyBorder="1" applyAlignment="1">
      <alignment horizontal="center" vertical="center"/>
    </xf>
    <xf numFmtId="0" fontId="68" fillId="16" borderId="106" xfId="0" applyNumberFormat="1" applyFont="1" applyFill="1" applyBorder="1" applyAlignment="1">
      <alignment horizontal="center" vertical="center"/>
    </xf>
    <xf numFmtId="0" fontId="68" fillId="17" borderId="1" xfId="0" applyNumberFormat="1" applyFont="1" applyFill="1" applyBorder="1" applyAlignment="1">
      <alignment horizontal="center" vertical="center"/>
    </xf>
    <xf numFmtId="0" fontId="68" fillId="16" borderId="130" xfId="0" applyNumberFormat="1" applyFont="1" applyFill="1" applyBorder="1" applyAlignment="1">
      <alignment horizontal="center" vertical="center"/>
    </xf>
    <xf numFmtId="0" fontId="68" fillId="17" borderId="134" xfId="0" applyNumberFormat="1" applyFont="1" applyFill="1" applyBorder="1" applyAlignment="1">
      <alignment horizontal="center" vertical="center"/>
    </xf>
    <xf numFmtId="0" fontId="68" fillId="17" borderId="130" xfId="0" applyNumberFormat="1" applyFont="1" applyFill="1" applyBorder="1" applyAlignment="1">
      <alignment horizontal="center" vertical="center"/>
    </xf>
    <xf numFmtId="1" fontId="65" fillId="16" borderId="104" xfId="0" applyNumberFormat="1" applyFont="1" applyFill="1" applyBorder="1" applyAlignment="1">
      <alignment horizontal="center" vertical="center" wrapText="1"/>
    </xf>
    <xf numFmtId="177" fontId="65" fillId="17" borderId="104" xfId="0" applyNumberFormat="1" applyFont="1" applyFill="1" applyBorder="1" applyAlignment="1">
      <alignment horizontal="center" vertical="center" wrapText="1"/>
    </xf>
    <xf numFmtId="178" fontId="68" fillId="16" borderId="109" xfId="0" applyNumberFormat="1" applyFont="1" applyFill="1" applyBorder="1" applyAlignment="1">
      <alignment horizontal="center" vertical="center" wrapText="1"/>
    </xf>
    <xf numFmtId="178" fontId="68" fillId="16" borderId="99" xfId="0" applyNumberFormat="1" applyFont="1" applyFill="1" applyBorder="1" applyAlignment="1">
      <alignment horizontal="center" vertical="center" wrapText="1"/>
    </xf>
    <xf numFmtId="177" fontId="65" fillId="16" borderId="101" xfId="0" applyNumberFormat="1" applyFont="1" applyFill="1" applyBorder="1" applyAlignment="1">
      <alignment horizontal="center" vertical="center" wrapText="1"/>
    </xf>
    <xf numFmtId="177" fontId="65" fillId="17" borderId="122" xfId="0" applyNumberFormat="1" applyFont="1" applyFill="1" applyBorder="1" applyAlignment="1">
      <alignment horizontal="center" vertical="center" wrapText="1"/>
    </xf>
    <xf numFmtId="0" fontId="68" fillId="17" borderId="108" xfId="0" applyNumberFormat="1" applyFont="1" applyFill="1" applyBorder="1" applyAlignment="1">
      <alignment horizontal="center" vertical="center"/>
    </xf>
    <xf numFmtId="0" fontId="68" fillId="16" borderId="21" xfId="0" applyNumberFormat="1" applyFont="1" applyFill="1" applyBorder="1" applyAlignment="1">
      <alignment horizontal="center" vertical="center"/>
    </xf>
    <xf numFmtId="0" fontId="68" fillId="17" borderId="21" xfId="0" applyNumberFormat="1" applyFont="1" applyFill="1" applyBorder="1" applyAlignment="1">
      <alignment horizontal="center" vertical="center"/>
    </xf>
    <xf numFmtId="0" fontId="68" fillId="16" borderId="108" xfId="0" applyNumberFormat="1" applyFont="1" applyFill="1" applyBorder="1" applyAlignment="1">
      <alignment horizontal="center" vertical="center"/>
    </xf>
    <xf numFmtId="0" fontId="68" fillId="16" borderId="5" xfId="0" applyNumberFormat="1" applyFont="1" applyFill="1" applyBorder="1" applyAlignment="1">
      <alignment horizontal="center" vertical="center"/>
    </xf>
    <xf numFmtId="0" fontId="68" fillId="17" borderId="5" xfId="0" applyNumberFormat="1" applyFont="1" applyFill="1" applyBorder="1" applyAlignment="1">
      <alignment horizontal="center" vertical="center"/>
    </xf>
    <xf numFmtId="0" fontId="71" fillId="4" borderId="101" xfId="0" applyNumberFormat="1" applyFont="1" applyFill="1" applyBorder="1" applyAlignment="1">
      <alignment horizontal="center" vertical="center" wrapText="1"/>
    </xf>
    <xf numFmtId="2" fontId="71" fillId="4" borderId="99" xfId="0" applyNumberFormat="1" applyFont="1" applyFill="1" applyBorder="1" applyAlignment="1">
      <alignment horizontal="center" vertical="center" wrapText="1"/>
    </xf>
    <xf numFmtId="0" fontId="68" fillId="17" borderId="133" xfId="0" applyNumberFormat="1" applyFont="1" applyFill="1" applyBorder="1" applyAlignment="1">
      <alignment horizontal="center" vertical="center"/>
    </xf>
    <xf numFmtId="0" fontId="71" fillId="4" borderId="108" xfId="0" applyNumberFormat="1" applyFont="1" applyFill="1" applyBorder="1" applyAlignment="1">
      <alignment horizontal="center" vertical="center" wrapText="1"/>
    </xf>
    <xf numFmtId="0" fontId="71" fillId="4" borderId="1" xfId="0" applyNumberFormat="1" applyFont="1" applyFill="1" applyBorder="1" applyAlignment="1">
      <alignment horizontal="center" vertical="center" wrapText="1"/>
    </xf>
    <xf numFmtId="0" fontId="68" fillId="16" borderId="113" xfId="0" applyNumberFormat="1" applyFont="1" applyFill="1" applyBorder="1" applyAlignment="1">
      <alignment horizontal="center" vertical="center"/>
    </xf>
    <xf numFmtId="0" fontId="68" fillId="16" borderId="136" xfId="0" applyFont="1" applyFill="1" applyBorder="1"/>
    <xf numFmtId="49" fontId="67" fillId="17" borderId="135" xfId="0" applyNumberFormat="1" applyFont="1" applyFill="1" applyBorder="1" applyAlignment="1">
      <alignment horizontal="left" vertical="center"/>
    </xf>
    <xf numFmtId="178" fontId="68" fillId="16" borderId="113" xfId="0" applyNumberFormat="1" applyFont="1" applyFill="1" applyBorder="1" applyAlignment="1">
      <alignment horizontal="center" vertical="center" wrapText="1"/>
    </xf>
    <xf numFmtId="178" fontId="68" fillId="16" borderId="117" xfId="0" applyNumberFormat="1" applyFont="1" applyFill="1" applyBorder="1" applyAlignment="1">
      <alignment horizontal="center" vertical="center" wrapText="1"/>
    </xf>
    <xf numFmtId="178" fontId="68" fillId="16" borderId="15" xfId="0" applyNumberFormat="1" applyFont="1" applyFill="1" applyBorder="1" applyAlignment="1">
      <alignment horizontal="center" vertical="center" wrapText="1"/>
    </xf>
    <xf numFmtId="2" fontId="68" fillId="16" borderId="104" xfId="0" applyNumberFormat="1" applyFont="1" applyFill="1" applyBorder="1" applyAlignment="1">
      <alignment horizontal="center" vertical="center" wrapText="1"/>
    </xf>
    <xf numFmtId="0" fontId="71" fillId="4" borderId="130" xfId="0" applyNumberFormat="1" applyFont="1" applyFill="1" applyBorder="1" applyAlignment="1">
      <alignment horizontal="center" vertical="center" wrapText="1"/>
    </xf>
    <xf numFmtId="0" fontId="59" fillId="17" borderId="130" xfId="0" applyFont="1" applyFill="1" applyBorder="1" applyAlignment="1">
      <alignment horizontal="center" vertical="center"/>
    </xf>
    <xf numFmtId="0" fontId="69" fillId="17" borderId="137" xfId="0" applyFont="1" applyFill="1" applyBorder="1" applyAlignment="1">
      <alignment horizontal="center" vertical="center"/>
    </xf>
    <xf numFmtId="49" fontId="68" fillId="16" borderId="120" xfId="0" applyNumberFormat="1" applyFont="1" applyFill="1" applyBorder="1" applyAlignment="1">
      <alignment horizontal="center" vertical="center"/>
    </xf>
    <xf numFmtId="0" fontId="68" fillId="16" borderId="122" xfId="0" applyNumberFormat="1" applyFont="1" applyFill="1" applyBorder="1" applyAlignment="1">
      <alignment horizontal="center" vertical="center"/>
    </xf>
    <xf numFmtId="178" fontId="68" fillId="16" borderId="5" xfId="0" applyNumberFormat="1" applyFont="1" applyFill="1" applyBorder="1" applyAlignment="1">
      <alignment horizontal="center" vertical="center" wrapText="1"/>
    </xf>
    <xf numFmtId="0" fontId="68" fillId="16" borderId="138" xfId="0" applyFont="1" applyFill="1" applyBorder="1"/>
    <xf numFmtId="0" fontId="69" fillId="16" borderId="116" xfId="0" applyFont="1" applyFill="1" applyBorder="1" applyAlignment="1">
      <alignment horizontal="center" vertical="center"/>
    </xf>
    <xf numFmtId="0" fontId="68" fillId="16" borderId="116" xfId="0" applyNumberFormat="1" applyFont="1" applyFill="1" applyBorder="1" applyAlignment="1">
      <alignment horizontal="center" vertical="center" wrapText="1"/>
    </xf>
    <xf numFmtId="0" fontId="67" fillId="17" borderId="102" xfId="0" applyFont="1" applyFill="1" applyBorder="1"/>
    <xf numFmtId="49" fontId="67" fillId="17" borderId="139" xfId="0" applyNumberFormat="1" applyFont="1" applyFill="1" applyBorder="1" applyAlignment="1">
      <alignment horizontal="left" vertical="center"/>
    </xf>
    <xf numFmtId="49" fontId="68" fillId="17" borderId="74" xfId="0" applyNumberFormat="1" applyFont="1" applyFill="1" applyBorder="1" applyAlignment="1">
      <alignment horizontal="center" vertical="center" wrapText="1"/>
    </xf>
    <xf numFmtId="49" fontId="65" fillId="17" borderId="1" xfId="0" applyNumberFormat="1" applyFont="1" applyFill="1" applyBorder="1" applyAlignment="1">
      <alignment horizontal="center" vertical="center" wrapText="1"/>
    </xf>
    <xf numFmtId="0" fontId="71" fillId="4" borderId="109" xfId="0" applyNumberFormat="1" applyFont="1" applyFill="1" applyBorder="1" applyAlignment="1">
      <alignment horizontal="center" vertical="center" wrapText="1"/>
    </xf>
    <xf numFmtId="0" fontId="59" fillId="16" borderId="106" xfId="0" applyFont="1" applyFill="1" applyBorder="1" applyAlignment="1">
      <alignment horizontal="center" vertical="center"/>
    </xf>
    <xf numFmtId="0" fontId="68" fillId="16" borderId="106" xfId="0" applyNumberFormat="1" applyFont="1" applyFill="1" applyBorder="1" applyAlignment="1">
      <alignment horizontal="center" vertical="center" wrapText="1"/>
    </xf>
    <xf numFmtId="0" fontId="67" fillId="16" borderId="127" xfId="0" applyFont="1" applyFill="1" applyBorder="1"/>
    <xf numFmtId="0" fontId="68" fillId="18" borderId="14" xfId="0" applyFont="1" applyFill="1" applyBorder="1" applyAlignment="1">
      <alignment horizontal="center" vertical="center"/>
    </xf>
    <xf numFmtId="0" fontId="0" fillId="18" borderId="15" xfId="0" applyNumberFormat="1" applyFill="1" applyBorder="1" applyAlignment="1">
      <alignment horizontal="center" vertical="center"/>
    </xf>
    <xf numFmtId="0" fontId="72" fillId="18" borderId="51" xfId="0" applyNumberFormat="1" applyFont="1" applyFill="1" applyBorder="1" applyAlignment="1">
      <alignment horizontal="center" vertical="center"/>
    </xf>
    <xf numFmtId="0" fontId="73" fillId="18" borderId="15" xfId="0" applyFont="1" applyFill="1" applyBorder="1" applyAlignment="1">
      <alignment horizontal="center" vertical="center"/>
    </xf>
    <xf numFmtId="49" fontId="67" fillId="18" borderId="136" xfId="0" applyNumberFormat="1" applyFont="1" applyFill="1" applyBorder="1" applyAlignment="1">
      <alignment horizontal="left" vertical="center"/>
    </xf>
    <xf numFmtId="0" fontId="68" fillId="18" borderId="17" xfId="0" applyFont="1" applyFill="1" applyBorder="1" applyAlignment="1">
      <alignment horizontal="center" vertical="center"/>
    </xf>
    <xf numFmtId="0" fontId="59" fillId="18" borderId="99" xfId="0" applyFont="1" applyFill="1" applyBorder="1" applyAlignment="1">
      <alignment horizontal="center" vertical="center"/>
    </xf>
    <xf numFmtId="0" fontId="72" fillId="18" borderId="2" xfId="0" applyNumberFormat="1" applyFont="1" applyFill="1" applyBorder="1" applyAlignment="1">
      <alignment horizontal="center" vertical="center"/>
    </xf>
    <xf numFmtId="0" fontId="73" fillId="18" borderId="1" xfId="0" applyFont="1" applyFill="1" applyBorder="1" applyAlignment="1">
      <alignment horizontal="center" vertical="center"/>
    </xf>
    <xf numFmtId="49" fontId="67" fillId="18" borderId="139" xfId="0" applyNumberFormat="1" applyFont="1" applyFill="1" applyBorder="1" applyAlignment="1">
      <alignment horizontal="left" vertical="center"/>
    </xf>
    <xf numFmtId="0" fontId="71" fillId="18" borderId="109" xfId="0" applyNumberFormat="1" applyFont="1" applyFill="1" applyBorder="1" applyAlignment="1">
      <alignment horizontal="center" vertical="center" wrapText="1"/>
    </xf>
    <xf numFmtId="0" fontId="2" fillId="18" borderId="50" xfId="0" applyNumberFormat="1" applyFont="1" applyFill="1" applyBorder="1" applyAlignment="1">
      <alignment horizontal="center" vertical="center"/>
    </xf>
    <xf numFmtId="0" fontId="68" fillId="18" borderId="115" xfId="0" applyNumberFormat="1" applyFont="1" applyFill="1" applyBorder="1" applyAlignment="1">
      <alignment horizontal="center" vertical="center"/>
    </xf>
    <xf numFmtId="0" fontId="68" fillId="18" borderId="40" xfId="0" applyFont="1" applyFill="1" applyBorder="1" applyAlignment="1">
      <alignment horizontal="center" vertical="center"/>
    </xf>
    <xf numFmtId="0" fontId="68" fillId="18" borderId="121" xfId="0" applyNumberFormat="1" applyFont="1" applyFill="1" applyBorder="1" applyAlignment="1">
      <alignment horizontal="center" vertical="center"/>
    </xf>
    <xf numFmtId="0" fontId="59" fillId="18" borderId="119" xfId="0" applyFont="1" applyFill="1" applyBorder="1" applyAlignment="1">
      <alignment horizontal="center" vertical="center"/>
    </xf>
    <xf numFmtId="0" fontId="71" fillId="18" borderId="122" xfId="0" applyNumberFormat="1" applyFont="1" applyFill="1" applyBorder="1" applyAlignment="1">
      <alignment horizontal="center" vertical="center" wrapText="1"/>
    </xf>
    <xf numFmtId="0" fontId="73" fillId="18" borderId="5" xfId="0" applyFont="1" applyFill="1" applyBorder="1" applyAlignment="1">
      <alignment horizontal="center" vertical="center"/>
    </xf>
    <xf numFmtId="49" fontId="67" fillId="18" borderId="138" xfId="0" applyNumberFormat="1" applyFont="1" applyFill="1" applyBorder="1" applyAlignment="1">
      <alignment horizontal="left" vertical="center"/>
    </xf>
    <xf numFmtId="0" fontId="2" fillId="15" borderId="1" xfId="0" applyNumberFormat="1" applyFont="1" applyFill="1" applyBorder="1" applyAlignment="1">
      <alignment horizontal="center" vertical="center"/>
    </xf>
    <xf numFmtId="0" fontId="59" fillId="15" borderId="1" xfId="0" applyFont="1" applyFill="1" applyBorder="1" applyAlignment="1">
      <alignment horizontal="center" vertical="center"/>
    </xf>
    <xf numFmtId="0" fontId="72" fillId="15" borderId="1" xfId="0" applyNumberFormat="1" applyFont="1" applyFill="1" applyBorder="1" applyAlignment="1">
      <alignment horizontal="center" vertical="center"/>
    </xf>
    <xf numFmtId="0" fontId="2" fillId="15" borderId="1" xfId="0" applyFont="1" applyFill="1" applyBorder="1" applyAlignment="1">
      <alignment horizontal="center" vertical="center"/>
    </xf>
    <xf numFmtId="0" fontId="0" fillId="15" borderId="1" xfId="0" applyFill="1" applyBorder="1" applyAlignment="1">
      <alignment horizontal="center" vertical="center"/>
    </xf>
    <xf numFmtId="49" fontId="72" fillId="15" borderId="1" xfId="0" applyNumberFormat="1" applyFont="1" applyFill="1" applyBorder="1" applyAlignment="1">
      <alignment horizontal="center" vertical="center"/>
    </xf>
    <xf numFmtId="0" fontId="68" fillId="15" borderId="14" xfId="0" applyFont="1" applyFill="1" applyBorder="1" applyAlignment="1">
      <alignment horizontal="center" vertical="center"/>
    </xf>
    <xf numFmtId="0" fontId="2" fillId="15" borderId="15" xfId="0" applyNumberFormat="1" applyFont="1" applyFill="1" applyBorder="1" applyAlignment="1">
      <alignment horizontal="center" vertical="center"/>
    </xf>
    <xf numFmtId="0" fontId="59" fillId="15" borderId="15" xfId="0" applyFont="1" applyFill="1" applyBorder="1" applyAlignment="1">
      <alignment horizontal="center" vertical="center"/>
    </xf>
    <xf numFmtId="0" fontId="72" fillId="15" borderId="15" xfId="0" applyNumberFormat="1" applyFont="1" applyFill="1" applyBorder="1" applyAlignment="1">
      <alignment horizontal="center" vertical="center"/>
    </xf>
    <xf numFmtId="0" fontId="2" fillId="15" borderId="15" xfId="0" applyFont="1" applyFill="1" applyBorder="1" applyAlignment="1">
      <alignment horizontal="center" vertical="center"/>
    </xf>
    <xf numFmtId="0" fontId="0" fillId="15" borderId="16" xfId="0" applyFill="1" applyBorder="1"/>
    <xf numFmtId="0" fontId="68" fillId="15" borderId="17" xfId="0" applyFont="1" applyFill="1" applyBorder="1" applyAlignment="1">
      <alignment horizontal="center" vertical="center"/>
    </xf>
    <xf numFmtId="0" fontId="0" fillId="15" borderId="18" xfId="0" applyFill="1" applyBorder="1"/>
    <xf numFmtId="0" fontId="2" fillId="15" borderId="18" xfId="0" applyFont="1" applyFill="1" applyBorder="1"/>
    <xf numFmtId="0" fontId="68" fillId="15" borderId="20" xfId="0" applyFont="1" applyFill="1" applyBorder="1" applyAlignment="1">
      <alignment horizontal="center" vertical="center"/>
    </xf>
    <xf numFmtId="0" fontId="2" fillId="15" borderId="21" xfId="0" applyNumberFormat="1" applyFont="1" applyFill="1" applyBorder="1" applyAlignment="1">
      <alignment horizontal="center" vertical="center"/>
    </xf>
    <xf numFmtId="0" fontId="59" fillId="15" borderId="21" xfId="0" applyFont="1" applyFill="1" applyBorder="1" applyAlignment="1">
      <alignment horizontal="center" vertical="center"/>
    </xf>
    <xf numFmtId="0" fontId="0" fillId="15" borderId="22" xfId="0" applyFill="1" applyBorder="1"/>
    <xf numFmtId="0" fontId="68" fillId="15" borderId="40" xfId="0" applyFont="1" applyFill="1" applyBorder="1" applyAlignment="1">
      <alignment horizontal="center" vertical="center"/>
    </xf>
    <xf numFmtId="0" fontId="2" fillId="15" borderId="5" xfId="0" applyNumberFormat="1" applyFont="1" applyFill="1" applyBorder="1" applyAlignment="1">
      <alignment horizontal="center" vertical="center"/>
    </xf>
    <xf numFmtId="0" fontId="59" fillId="15" borderId="5" xfId="0" applyFont="1" applyFill="1" applyBorder="1" applyAlignment="1">
      <alignment horizontal="center" vertical="center"/>
    </xf>
    <xf numFmtId="0" fontId="72" fillId="15" borderId="5" xfId="0" applyNumberFormat="1" applyFont="1" applyFill="1" applyBorder="1" applyAlignment="1">
      <alignment horizontal="center" vertical="center"/>
    </xf>
    <xf numFmtId="0" fontId="2" fillId="15" borderId="5" xfId="0" applyFont="1" applyFill="1" applyBorder="1" applyAlignment="1">
      <alignment horizontal="center" vertical="center"/>
    </xf>
    <xf numFmtId="0" fontId="0" fillId="15" borderId="62" xfId="0" applyFill="1" applyBorder="1"/>
    <xf numFmtId="0" fontId="0" fillId="15" borderId="21" xfId="0" applyFill="1" applyBorder="1" applyAlignment="1">
      <alignment horizontal="center" vertical="center"/>
    </xf>
    <xf numFmtId="49" fontId="65" fillId="19" borderId="63" xfId="0" applyNumberFormat="1" applyFont="1" applyFill="1" applyBorder="1" applyAlignment="1">
      <alignment horizontal="center" vertical="center" wrapText="1"/>
    </xf>
    <xf numFmtId="49" fontId="59" fillId="16" borderId="99" xfId="0" applyNumberFormat="1" applyFont="1" applyFill="1" applyBorder="1" applyAlignment="1">
      <alignment horizontal="center" vertical="center"/>
    </xf>
    <xf numFmtId="0" fontId="43" fillId="8" borderId="64" xfId="2" applyFont="1" applyFill="1" applyBorder="1" applyAlignment="1" applyProtection="1">
      <alignment horizontal="left" vertical="center"/>
    </xf>
    <xf numFmtId="0" fontId="43" fillId="8" borderId="11" xfId="2" applyFont="1" applyFill="1" applyBorder="1" applyAlignment="1" applyProtection="1">
      <alignment horizontal="left" vertical="center"/>
    </xf>
    <xf numFmtId="0" fontId="43" fillId="8" borderId="9" xfId="2" applyFont="1" applyFill="1" applyBorder="1" applyAlignment="1" applyProtection="1">
      <alignment horizontal="left" vertical="center"/>
    </xf>
    <xf numFmtId="0" fontId="43" fillId="8" borderId="31" xfId="2" applyFont="1" applyFill="1" applyBorder="1" applyAlignment="1" applyProtection="1">
      <alignment horizontal="left" vertical="center"/>
    </xf>
    <xf numFmtId="0" fontId="43" fillId="8" borderId="13" xfId="2" applyFont="1" applyFill="1" applyBorder="1" applyAlignment="1" applyProtection="1">
      <alignment horizontal="left" vertical="center"/>
    </xf>
    <xf numFmtId="0" fontId="43" fillId="8" borderId="8" xfId="2" applyFont="1" applyFill="1" applyBorder="1" applyAlignment="1" applyProtection="1">
      <alignment horizontal="left" vertical="center"/>
    </xf>
    <xf numFmtId="0" fontId="39" fillId="8" borderId="17" xfId="2" applyFont="1" applyFill="1" applyBorder="1" applyAlignment="1" applyProtection="1">
      <alignment horizontal="center" vertical="center" wrapText="1"/>
    </xf>
    <xf numFmtId="0" fontId="39" fillId="8" borderId="20" xfId="2" applyFont="1" applyFill="1" applyBorder="1" applyAlignment="1" applyProtection="1">
      <alignment horizontal="center" vertical="center" wrapText="1"/>
    </xf>
    <xf numFmtId="49" fontId="41" fillId="9" borderId="14" xfId="2" applyNumberFormat="1" applyFont="1" applyFill="1" applyBorder="1" applyAlignment="1" applyProtection="1">
      <alignment horizontal="left" vertical="top" wrapText="1"/>
    </xf>
    <xf numFmtId="49" fontId="41" fillId="9" borderId="15" xfId="2" applyNumberFormat="1" applyFont="1" applyFill="1" applyBorder="1" applyAlignment="1" applyProtection="1">
      <alignment horizontal="left" vertical="top" wrapText="1"/>
    </xf>
    <xf numFmtId="49" fontId="41" fillId="9" borderId="16" xfId="2" applyNumberFormat="1" applyFont="1" applyFill="1" applyBorder="1" applyAlignment="1" applyProtection="1">
      <alignment horizontal="left" vertical="top" wrapText="1"/>
    </xf>
    <xf numFmtId="49" fontId="41" fillId="9" borderId="17" xfId="2" applyNumberFormat="1" applyFont="1" applyFill="1" applyBorder="1" applyAlignment="1" applyProtection="1">
      <alignment horizontal="left" vertical="top" wrapText="1"/>
    </xf>
    <xf numFmtId="49" fontId="41" fillId="9" borderId="1" xfId="2" applyNumberFormat="1" applyFont="1" applyFill="1" applyBorder="1" applyAlignment="1" applyProtection="1">
      <alignment horizontal="left" vertical="top" wrapText="1"/>
    </xf>
    <xf numFmtId="49" fontId="41" fillId="9" borderId="18" xfId="2" applyNumberFormat="1" applyFont="1" applyFill="1" applyBorder="1" applyAlignment="1" applyProtection="1">
      <alignment horizontal="left" vertical="top" wrapText="1"/>
    </xf>
    <xf numFmtId="0" fontId="39" fillId="8" borderId="1" xfId="2" applyFont="1" applyFill="1" applyBorder="1" applyAlignment="1" applyProtection="1">
      <alignment horizontal="center" vertical="center"/>
    </xf>
    <xf numFmtId="0" fontId="39" fillId="8" borderId="15" xfId="2" applyFont="1" applyFill="1" applyBorder="1" applyAlignment="1" applyProtection="1">
      <alignment horizontal="center" vertical="center"/>
    </xf>
    <xf numFmtId="49" fontId="41" fillId="9" borderId="17" xfId="2" applyNumberFormat="1" applyFont="1" applyFill="1" applyBorder="1" applyAlignment="1" applyProtection="1">
      <alignment horizontal="center" vertical="center" shrinkToFit="1"/>
    </xf>
    <xf numFmtId="49" fontId="41" fillId="9" borderId="1" xfId="2" applyNumberFormat="1" applyFont="1" applyFill="1" applyBorder="1" applyAlignment="1" applyProtection="1">
      <alignment horizontal="center" vertical="center" shrinkToFit="1"/>
    </xf>
    <xf numFmtId="49" fontId="35" fillId="9" borderId="1" xfId="2" applyNumberFormat="1" applyFont="1" applyFill="1" applyBorder="1" applyAlignment="1" applyProtection="1">
      <alignment horizontal="justify" vertical="center" wrapText="1"/>
    </xf>
    <xf numFmtId="49" fontId="35" fillId="9" borderId="18" xfId="2" applyNumberFormat="1" applyFont="1" applyFill="1" applyBorder="1" applyAlignment="1" applyProtection="1">
      <alignment horizontal="justify" vertical="center" wrapText="1"/>
    </xf>
    <xf numFmtId="49" fontId="6" fillId="9" borderId="1" xfId="2" applyNumberFormat="1" applyFont="1" applyFill="1" applyBorder="1" applyAlignment="1" applyProtection="1">
      <alignment horizontal="center" vertical="center"/>
    </xf>
    <xf numFmtId="49" fontId="6" fillId="9" borderId="18" xfId="2" applyNumberFormat="1" applyFont="1" applyFill="1" applyBorder="1" applyAlignment="1" applyProtection="1">
      <alignment horizontal="center" vertical="center"/>
    </xf>
    <xf numFmtId="0" fontId="40" fillId="2" borderId="0" xfId="2" applyFont="1" applyFill="1" applyBorder="1" applyAlignment="1" applyProtection="1">
      <alignment horizontal="left" vertical="center"/>
    </xf>
    <xf numFmtId="0" fontId="41" fillId="2" borderId="0" xfId="2" applyFont="1" applyFill="1" applyBorder="1" applyAlignment="1" applyProtection="1">
      <alignment horizontal="left" vertical="center"/>
    </xf>
    <xf numFmtId="0" fontId="43" fillId="8" borderId="14" xfId="2" applyFont="1" applyFill="1" applyBorder="1" applyAlignment="1" applyProtection="1">
      <alignment horizontal="left" vertical="center"/>
    </xf>
    <xf numFmtId="0" fontId="43" fillId="8" borderId="15" xfId="2" applyFont="1" applyFill="1" applyBorder="1" applyAlignment="1" applyProtection="1">
      <alignment horizontal="left" vertical="center"/>
    </xf>
    <xf numFmtId="49" fontId="6" fillId="9" borderId="51" xfId="2" applyNumberFormat="1" applyFont="1" applyFill="1" applyBorder="1" applyAlignment="1" applyProtection="1">
      <alignment horizontal="center" vertical="center"/>
    </xf>
    <xf numFmtId="49" fontId="6" fillId="9" borderId="49" xfId="2" applyNumberFormat="1" applyFont="1" applyFill="1" applyBorder="1" applyAlignment="1" applyProtection="1">
      <alignment horizontal="center" vertical="center"/>
    </xf>
    <xf numFmtId="49" fontId="6" fillId="9" borderId="52" xfId="2" applyNumberFormat="1" applyFont="1" applyFill="1" applyBorder="1" applyAlignment="1" applyProtection="1">
      <alignment horizontal="center" vertical="center"/>
    </xf>
    <xf numFmtId="0" fontId="35" fillId="2" borderId="17" xfId="2" applyFont="1" applyFill="1" applyBorder="1" applyAlignment="1" applyProtection="1">
      <alignment horizontal="center" vertical="top" wrapText="1"/>
    </xf>
    <xf numFmtId="0" fontId="35" fillId="2" borderId="1" xfId="2" applyFont="1" applyFill="1" applyBorder="1" applyAlignment="1" applyProtection="1">
      <alignment horizontal="center" vertical="top" wrapText="1"/>
    </xf>
    <xf numFmtId="0" fontId="35" fillId="2" borderId="18" xfId="2" applyFont="1" applyFill="1" applyBorder="1" applyAlignment="1" applyProtection="1">
      <alignment horizontal="center" vertical="top" wrapText="1"/>
    </xf>
    <xf numFmtId="0" fontId="39" fillId="8" borderId="27" xfId="2" applyFont="1" applyFill="1" applyBorder="1" applyAlignment="1" applyProtection="1">
      <alignment horizontal="center" vertical="center" wrapText="1"/>
    </xf>
    <xf numFmtId="0" fontId="39" fillId="8" borderId="65" xfId="2" applyFont="1" applyFill="1" applyBorder="1" applyAlignment="1" applyProtection="1">
      <alignment horizontal="center" vertical="center" wrapText="1"/>
    </xf>
    <xf numFmtId="0" fontId="6" fillId="9" borderId="84" xfId="2" applyNumberFormat="1" applyFont="1" applyFill="1" applyBorder="1" applyAlignment="1" applyProtection="1">
      <alignment horizontal="center" vertical="center"/>
    </xf>
    <xf numFmtId="0" fontId="6" fillId="9" borderId="85" xfId="2" applyNumberFormat="1" applyFont="1" applyFill="1" applyBorder="1" applyAlignment="1" applyProtection="1">
      <alignment horizontal="center" vertical="center"/>
    </xf>
    <xf numFmtId="49" fontId="48" fillId="9" borderId="1" xfId="2" applyNumberFormat="1" applyFont="1" applyFill="1" applyBorder="1" applyAlignment="1" applyProtection="1">
      <alignment horizontal="center" vertical="center"/>
    </xf>
    <xf numFmtId="0" fontId="53" fillId="9" borderId="65" xfId="2" applyFont="1" applyFill="1" applyBorder="1" applyAlignment="1" applyProtection="1">
      <alignment horizontal="center" vertical="center"/>
    </xf>
    <xf numFmtId="0" fontId="53" fillId="9" borderId="28" xfId="2" applyFont="1" applyFill="1" applyBorder="1" applyAlignment="1" applyProtection="1">
      <alignment horizontal="center" vertical="center"/>
    </xf>
    <xf numFmtId="0" fontId="35" fillId="8" borderId="27" xfId="2" applyFont="1" applyFill="1" applyBorder="1" applyAlignment="1" applyProtection="1">
      <alignment horizontal="justify" vertical="center" wrapText="1"/>
    </xf>
    <xf numFmtId="0" fontId="35" fillId="8" borderId="65" xfId="2" applyFont="1" applyFill="1" applyBorder="1" applyAlignment="1" applyProtection="1">
      <alignment horizontal="justify" vertical="center" wrapText="1"/>
    </xf>
    <xf numFmtId="0" fontId="43" fillId="8" borderId="1" xfId="2" applyFont="1" applyFill="1" applyBorder="1" applyAlignment="1" applyProtection="1">
      <alignment horizontal="left" vertical="center"/>
    </xf>
    <xf numFmtId="0" fontId="35" fillId="8" borderId="27" xfId="2" applyFont="1" applyFill="1" applyBorder="1" applyAlignment="1" applyProtection="1">
      <alignment horizontal="left" vertical="center" wrapText="1"/>
    </xf>
    <xf numFmtId="0" fontId="35" fillId="8" borderId="65" xfId="2" applyFont="1" applyFill="1" applyBorder="1" applyAlignment="1" applyProtection="1">
      <alignment horizontal="left" vertical="center" wrapText="1"/>
    </xf>
    <xf numFmtId="49" fontId="41" fillId="12" borderId="1" xfId="2" applyNumberFormat="1" applyFont="1" applyFill="1" applyBorder="1" applyAlignment="1" applyProtection="1">
      <alignment horizontal="left" vertical="top" wrapText="1"/>
    </xf>
    <xf numFmtId="49" fontId="41" fillId="12" borderId="18" xfId="2" applyNumberFormat="1" applyFont="1" applyFill="1" applyBorder="1" applyAlignment="1" applyProtection="1">
      <alignment horizontal="left" vertical="top" wrapText="1"/>
    </xf>
    <xf numFmtId="49" fontId="41" fillId="12" borderId="21" xfId="2" applyNumberFormat="1" applyFont="1" applyFill="1" applyBorder="1" applyAlignment="1" applyProtection="1">
      <alignment horizontal="left" vertical="top" wrapText="1"/>
    </xf>
    <xf numFmtId="49" fontId="41" fillId="12" borderId="22" xfId="2" applyNumberFormat="1" applyFont="1" applyFill="1" applyBorder="1" applyAlignment="1" applyProtection="1">
      <alignment horizontal="left" vertical="top" wrapText="1"/>
    </xf>
    <xf numFmtId="0" fontId="43" fillId="8" borderId="20" xfId="2" applyFont="1" applyFill="1" applyBorder="1" applyAlignment="1" applyProtection="1">
      <alignment horizontal="left" vertical="center"/>
    </xf>
    <xf numFmtId="0" fontId="43" fillId="8" borderId="21" xfId="2" applyFont="1" applyFill="1" applyBorder="1" applyAlignment="1" applyProtection="1">
      <alignment horizontal="left" vertical="center"/>
    </xf>
    <xf numFmtId="0" fontId="36" fillId="8" borderId="1" xfId="2" applyFont="1" applyFill="1" applyBorder="1" applyAlignment="1" applyProtection="1">
      <alignment horizontal="left" vertical="top"/>
    </xf>
    <xf numFmtId="0" fontId="35" fillId="2" borderId="17" xfId="2" applyFont="1" applyFill="1" applyBorder="1" applyAlignment="1" applyProtection="1">
      <alignment horizontal="left"/>
    </xf>
    <xf numFmtId="0" fontId="35" fillId="2" borderId="1" xfId="2" applyFont="1" applyFill="1" applyBorder="1" applyAlignment="1" applyProtection="1">
      <alignment horizontal="left"/>
    </xf>
    <xf numFmtId="0" fontId="35" fillId="8" borderId="1" xfId="2" applyFont="1" applyFill="1" applyBorder="1" applyAlignment="1" applyProtection="1">
      <alignment horizontal="center" wrapText="1"/>
    </xf>
    <xf numFmtId="0" fontId="35" fillId="8" borderId="1" xfId="2" applyFont="1" applyFill="1" applyBorder="1" applyAlignment="1" applyProtection="1">
      <alignment horizontal="center"/>
    </xf>
    <xf numFmtId="0" fontId="39" fillId="8" borderId="1" xfId="2" applyFont="1" applyFill="1" applyBorder="1" applyAlignment="1" applyProtection="1">
      <alignment horizontal="center" vertical="center" wrapText="1"/>
    </xf>
    <xf numFmtId="49" fontId="41" fillId="11" borderId="1" xfId="2" applyNumberFormat="1" applyFont="1" applyFill="1" applyBorder="1" applyAlignment="1" applyProtection="1">
      <alignment horizontal="center"/>
    </xf>
    <xf numFmtId="0" fontId="35" fillId="2" borderId="19" xfId="2" applyFont="1" applyFill="1" applyBorder="1" applyAlignment="1" applyProtection="1">
      <alignment horizontal="center" vertical="center"/>
    </xf>
    <xf numFmtId="0" fontId="35" fillId="2" borderId="3" xfId="2" applyFont="1" applyFill="1" applyBorder="1" applyAlignment="1" applyProtection="1">
      <alignment horizontal="center" vertical="center"/>
    </xf>
    <xf numFmtId="0" fontId="35" fillId="2" borderId="47" xfId="2" applyFont="1" applyFill="1" applyBorder="1" applyAlignment="1" applyProtection="1">
      <alignment horizontal="center" vertical="center"/>
    </xf>
    <xf numFmtId="0" fontId="39" fillId="2" borderId="19" xfId="2" applyFont="1" applyFill="1" applyBorder="1" applyAlignment="1" applyProtection="1">
      <alignment horizontal="center" vertical="center" wrapText="1"/>
    </xf>
    <xf numFmtId="0" fontId="39" fillId="2" borderId="3" xfId="2" applyFont="1" applyFill="1" applyBorder="1" applyAlignment="1" applyProtection="1">
      <alignment horizontal="center" vertical="center" wrapText="1"/>
    </xf>
    <xf numFmtId="0" fontId="39" fillId="2" borderId="47" xfId="2" applyFont="1" applyFill="1" applyBorder="1" applyAlignment="1" applyProtection="1">
      <alignment horizontal="center" vertical="center" wrapText="1"/>
    </xf>
    <xf numFmtId="49" fontId="48" fillId="9" borderId="21" xfId="2" applyNumberFormat="1" applyFont="1" applyFill="1" applyBorder="1" applyAlignment="1" applyProtection="1">
      <alignment horizontal="left" vertical="top" wrapText="1"/>
    </xf>
    <xf numFmtId="49" fontId="48" fillId="9" borderId="22" xfId="2" applyNumberFormat="1" applyFont="1" applyFill="1" applyBorder="1" applyAlignment="1" applyProtection="1">
      <alignment horizontal="left" vertical="top" wrapText="1"/>
    </xf>
    <xf numFmtId="0" fontId="36" fillId="8" borderId="15" xfId="2" applyFont="1" applyFill="1" applyBorder="1" applyAlignment="1" applyProtection="1">
      <alignment horizontal="center" vertical="center" wrapText="1" shrinkToFit="1"/>
    </xf>
    <xf numFmtId="0" fontId="36" fillId="8" borderId="16" xfId="2" applyFont="1" applyFill="1" applyBorder="1" applyAlignment="1" applyProtection="1">
      <alignment horizontal="center" vertical="center" wrapText="1" shrinkToFit="1"/>
    </xf>
    <xf numFmtId="0" fontId="36" fillId="8" borderId="15" xfId="2" applyFont="1" applyFill="1" applyBorder="1" applyAlignment="1" applyProtection="1">
      <alignment horizontal="distributed" vertical="justify" wrapText="1" shrinkToFit="1"/>
    </xf>
    <xf numFmtId="0" fontId="39" fillId="8" borderId="14" xfId="2" applyFont="1" applyFill="1" applyBorder="1" applyAlignment="1" applyProtection="1">
      <alignment horizontal="center" vertical="center" wrapText="1"/>
    </xf>
    <xf numFmtId="0" fontId="43" fillId="8" borderId="17" xfId="2" applyFont="1" applyFill="1" applyBorder="1" applyAlignment="1" applyProtection="1">
      <alignment horizontal="left" vertical="center"/>
    </xf>
    <xf numFmtId="0" fontId="36" fillId="8" borderId="14" xfId="2" applyFont="1" applyFill="1" applyBorder="1" applyAlignment="1" applyProtection="1">
      <alignment horizontal="center" vertical="center" wrapText="1" shrinkToFit="1"/>
    </xf>
    <xf numFmtId="49" fontId="35" fillId="12" borderId="65" xfId="2" applyNumberFormat="1" applyFont="1" applyFill="1" applyBorder="1" applyAlignment="1" applyProtection="1">
      <alignment horizontal="justify" vertical="top" wrapText="1"/>
    </xf>
    <xf numFmtId="49" fontId="35" fillId="12" borderId="28" xfId="2" applyNumberFormat="1" applyFont="1" applyFill="1" applyBorder="1" applyAlignment="1" applyProtection="1">
      <alignment horizontal="justify" vertical="top" wrapText="1"/>
    </xf>
    <xf numFmtId="49" fontId="41" fillId="9" borderId="21" xfId="2" applyNumberFormat="1" applyFont="1" applyFill="1" applyBorder="1" applyAlignment="1" applyProtection="1">
      <alignment horizontal="center" vertical="center"/>
    </xf>
    <xf numFmtId="49" fontId="41" fillId="9" borderId="22" xfId="2" applyNumberFormat="1" applyFont="1" applyFill="1" applyBorder="1" applyAlignment="1" applyProtection="1">
      <alignment horizontal="center" vertical="center"/>
    </xf>
    <xf numFmtId="49" fontId="41" fillId="9" borderId="1" xfId="2" applyNumberFormat="1" applyFont="1" applyFill="1" applyBorder="1" applyAlignment="1" applyProtection="1">
      <alignment horizontal="left" vertical="center"/>
    </xf>
    <xf numFmtId="49" fontId="41" fillId="9" borderId="18" xfId="2" applyNumberFormat="1" applyFont="1" applyFill="1" applyBorder="1" applyAlignment="1" applyProtection="1">
      <alignment horizontal="left" vertical="center"/>
    </xf>
    <xf numFmtId="0" fontId="54" fillId="9" borderId="1" xfId="2" applyNumberFormat="1" applyFont="1" applyFill="1" applyBorder="1" applyAlignment="1" applyProtection="1">
      <alignment horizontal="center" vertical="center"/>
    </xf>
    <xf numFmtId="0" fontId="39" fillId="8" borderId="17" xfId="2" applyFont="1" applyFill="1" applyBorder="1" applyAlignment="1" applyProtection="1">
      <alignment horizontal="left" vertical="center"/>
    </xf>
    <xf numFmtId="0" fontId="39" fillId="8" borderId="1" xfId="2" applyFont="1" applyFill="1" applyBorder="1" applyAlignment="1" applyProtection="1">
      <alignment horizontal="left" vertical="center"/>
    </xf>
    <xf numFmtId="0" fontId="39" fillId="8" borderId="17" xfId="2" applyFont="1" applyFill="1" applyBorder="1" applyAlignment="1" applyProtection="1">
      <alignment horizontal="right" vertical="center"/>
    </xf>
    <xf numFmtId="0" fontId="39" fillId="8" borderId="1" xfId="2" applyFont="1" applyFill="1" applyBorder="1" applyAlignment="1" applyProtection="1">
      <alignment horizontal="right" vertical="center"/>
    </xf>
    <xf numFmtId="49" fontId="6" fillId="9" borderId="15" xfId="2" applyNumberFormat="1" applyFont="1" applyFill="1" applyBorder="1" applyAlignment="1" applyProtection="1">
      <alignment horizontal="center" vertical="center"/>
    </xf>
    <xf numFmtId="0" fontId="6" fillId="9" borderId="81" xfId="2" applyNumberFormat="1" applyFont="1" applyFill="1" applyBorder="1" applyAlignment="1" applyProtection="1">
      <alignment horizontal="center" vertical="center"/>
    </xf>
    <xf numFmtId="0" fontId="6" fillId="9" borderId="82" xfId="2" applyNumberFormat="1" applyFont="1" applyFill="1" applyBorder="1" applyAlignment="1" applyProtection="1">
      <alignment horizontal="center" vertical="center"/>
    </xf>
    <xf numFmtId="0" fontId="6" fillId="9" borderId="83" xfId="2" applyNumberFormat="1" applyFont="1" applyFill="1" applyBorder="1" applyAlignment="1" applyProtection="1">
      <alignment horizontal="center" vertical="center"/>
    </xf>
    <xf numFmtId="49" fontId="6" fillId="9" borderId="90" xfId="2" applyNumberFormat="1" applyFont="1" applyFill="1" applyBorder="1" applyAlignment="1" applyProtection="1">
      <alignment horizontal="center" vertical="center"/>
    </xf>
    <xf numFmtId="49" fontId="6" fillId="9" borderId="91" xfId="2" applyNumberFormat="1" applyFont="1" applyFill="1" applyBorder="1" applyAlignment="1" applyProtection="1">
      <alignment horizontal="center" vertical="center"/>
    </xf>
    <xf numFmtId="49" fontId="6" fillId="9" borderId="92" xfId="2" applyNumberFormat="1" applyFont="1" applyFill="1" applyBorder="1" applyAlignment="1" applyProtection="1">
      <alignment horizontal="center" vertical="center"/>
    </xf>
    <xf numFmtId="0" fontId="6" fillId="9" borderId="77" xfId="2" applyNumberFormat="1" applyFont="1" applyFill="1" applyBorder="1" applyAlignment="1" applyProtection="1">
      <alignment horizontal="center" vertical="center"/>
    </xf>
    <xf numFmtId="0" fontId="6" fillId="9" borderId="78" xfId="2" applyNumberFormat="1" applyFont="1" applyFill="1" applyBorder="1" applyAlignment="1" applyProtection="1">
      <alignment horizontal="center" vertical="center"/>
    </xf>
    <xf numFmtId="0" fontId="6" fillId="9" borderId="80" xfId="2" applyNumberFormat="1" applyFont="1" applyFill="1" applyBorder="1" applyAlignment="1" applyProtection="1">
      <alignment horizontal="center" vertical="center"/>
    </xf>
    <xf numFmtId="0" fontId="39" fillId="8" borderId="17" xfId="2" applyFont="1" applyFill="1" applyBorder="1" applyAlignment="1" applyProtection="1">
      <alignment horizontal="center" vertical="center"/>
    </xf>
    <xf numFmtId="0" fontId="39" fillId="8" borderId="17" xfId="2" applyFont="1" applyFill="1" applyBorder="1" applyAlignment="1" applyProtection="1">
      <alignment horizontal="left"/>
    </xf>
    <xf numFmtId="0" fontId="39" fillId="8" borderId="1" xfId="2" applyFont="1" applyFill="1" applyBorder="1" applyAlignment="1" applyProtection="1">
      <alignment horizontal="left"/>
    </xf>
    <xf numFmtId="0" fontId="40" fillId="0" borderId="0" xfId="2" applyFont="1" applyFill="1" applyBorder="1" applyAlignment="1" applyProtection="1">
      <alignment horizontal="left" vertical="center"/>
    </xf>
    <xf numFmtId="49" fontId="6" fillId="9" borderId="17" xfId="2" applyNumberFormat="1" applyFont="1" applyFill="1" applyBorder="1" applyAlignment="1" applyProtection="1">
      <alignment horizontal="left" vertical="center"/>
    </xf>
    <xf numFmtId="49" fontId="6" fillId="9" borderId="1" xfId="2" applyNumberFormat="1" applyFont="1" applyFill="1" applyBorder="1" applyAlignment="1" applyProtection="1">
      <alignment horizontal="left" vertical="center"/>
    </xf>
    <xf numFmtId="0" fontId="39" fillId="8" borderId="18" xfId="2" applyFont="1" applyFill="1" applyBorder="1" applyAlignment="1" applyProtection="1">
      <alignment horizontal="center" vertical="center"/>
    </xf>
    <xf numFmtId="49" fontId="6" fillId="9" borderId="7" xfId="2" applyNumberFormat="1" applyFont="1" applyFill="1" applyBorder="1" applyAlignment="1" applyProtection="1">
      <alignment horizontal="center"/>
    </xf>
    <xf numFmtId="49" fontId="6" fillId="9" borderId="24" xfId="2" applyNumberFormat="1" applyFont="1" applyFill="1" applyBorder="1" applyAlignment="1" applyProtection="1">
      <alignment horizontal="center"/>
    </xf>
    <xf numFmtId="49" fontId="6" fillId="9" borderId="21" xfId="2" applyNumberFormat="1" applyFont="1" applyFill="1" applyBorder="1" applyAlignment="1" applyProtection="1">
      <alignment horizontal="left" vertical="center"/>
    </xf>
    <xf numFmtId="49" fontId="6" fillId="9" borderId="22" xfId="2" applyNumberFormat="1" applyFont="1" applyFill="1" applyBorder="1" applyAlignment="1" applyProtection="1">
      <alignment horizontal="left" vertical="center"/>
    </xf>
    <xf numFmtId="0" fontId="36" fillId="8" borderId="97" xfId="2" applyFont="1" applyFill="1" applyBorder="1" applyAlignment="1" applyProtection="1">
      <alignment horizontal="center" vertical="center"/>
    </xf>
    <xf numFmtId="0" fontId="36" fillId="8" borderId="96" xfId="2" applyFont="1" applyFill="1" applyBorder="1" applyAlignment="1" applyProtection="1">
      <alignment horizontal="center" vertical="center"/>
    </xf>
    <xf numFmtId="0" fontId="36" fillId="8" borderId="98" xfId="2" applyFont="1" applyFill="1" applyBorder="1" applyAlignment="1" applyProtection="1">
      <alignment horizontal="center" vertical="center"/>
    </xf>
    <xf numFmtId="0" fontId="35" fillId="8" borderId="7" xfId="2" applyFont="1" applyFill="1" applyBorder="1" applyAlignment="1" applyProtection="1">
      <alignment horizontal="center" vertical="center"/>
    </xf>
    <xf numFmtId="0" fontId="4" fillId="8" borderId="24" xfId="2" applyFill="1" applyBorder="1" applyProtection="1"/>
    <xf numFmtId="49" fontId="19" fillId="9" borderId="21" xfId="0" applyNumberFormat="1" applyFont="1" applyFill="1" applyBorder="1" applyAlignment="1" applyProtection="1">
      <alignment horizontal="center" vertical="center"/>
    </xf>
    <xf numFmtId="49" fontId="19" fillId="9" borderId="22" xfId="0" applyNumberFormat="1" applyFont="1" applyFill="1" applyBorder="1" applyAlignment="1" applyProtection="1">
      <alignment horizontal="center" vertical="center"/>
    </xf>
    <xf numFmtId="0" fontId="39" fillId="8" borderId="14" xfId="2" applyFont="1" applyFill="1" applyBorder="1" applyAlignment="1" applyProtection="1">
      <alignment horizontal="center" vertical="center"/>
    </xf>
    <xf numFmtId="0" fontId="39" fillId="8" borderId="16" xfId="2" applyFont="1" applyFill="1" applyBorder="1" applyAlignment="1" applyProtection="1">
      <alignment horizontal="center" vertical="center"/>
    </xf>
    <xf numFmtId="0" fontId="39" fillId="8" borderId="14" xfId="2" applyFont="1" applyFill="1" applyBorder="1" applyAlignment="1" applyProtection="1">
      <alignment horizontal="left" vertical="center"/>
    </xf>
    <xf numFmtId="0" fontId="39" fillId="8" borderId="15" xfId="2" applyFont="1" applyFill="1" applyBorder="1" applyAlignment="1" applyProtection="1">
      <alignment horizontal="left" vertical="center"/>
    </xf>
    <xf numFmtId="0" fontId="40" fillId="2" borderId="38" xfId="2" applyFont="1" applyFill="1" applyBorder="1" applyAlignment="1" applyProtection="1">
      <alignment horizontal="center" vertical="center"/>
    </xf>
    <xf numFmtId="0" fontId="40" fillId="2" borderId="0" xfId="2" applyFont="1" applyFill="1" applyBorder="1" applyAlignment="1" applyProtection="1">
      <alignment horizontal="center" vertical="center"/>
    </xf>
    <xf numFmtId="0" fontId="40" fillId="2" borderId="39" xfId="2" applyFont="1" applyFill="1" applyBorder="1" applyAlignment="1" applyProtection="1">
      <alignment horizontal="center" vertical="center"/>
    </xf>
    <xf numFmtId="0" fontId="39" fillId="8" borderId="14" xfId="2" applyFont="1" applyFill="1" applyBorder="1" applyAlignment="1" applyProtection="1">
      <alignment vertical="center" wrapText="1"/>
    </xf>
    <xf numFmtId="0" fontId="39" fillId="8" borderId="17" xfId="2" applyFont="1" applyFill="1" applyBorder="1" applyAlignment="1" applyProtection="1">
      <alignment vertical="center" wrapText="1"/>
    </xf>
    <xf numFmtId="49" fontId="6" fillId="9" borderId="18" xfId="2" applyNumberFormat="1" applyFont="1" applyFill="1" applyBorder="1" applyAlignment="1" applyProtection="1">
      <alignment horizontal="left" vertical="center"/>
    </xf>
    <xf numFmtId="0" fontId="36" fillId="8" borderId="15" xfId="2" applyFont="1" applyFill="1" applyBorder="1" applyAlignment="1" applyProtection="1">
      <alignment horizontal="left" vertical="center"/>
    </xf>
    <xf numFmtId="0" fontId="36" fillId="8" borderId="1" xfId="2" applyFont="1" applyFill="1" applyBorder="1" applyAlignment="1" applyProtection="1">
      <alignment horizontal="left" vertical="center"/>
    </xf>
    <xf numFmtId="0" fontId="51" fillId="9" borderId="15" xfId="2" applyNumberFormat="1" applyFont="1" applyFill="1" applyBorder="1" applyAlignment="1" applyProtection="1">
      <alignment horizontal="center" vertical="center" shrinkToFit="1"/>
    </xf>
    <xf numFmtId="0" fontId="51" fillId="9" borderId="16" xfId="2" applyNumberFormat="1" applyFont="1" applyFill="1" applyBorder="1" applyAlignment="1" applyProtection="1">
      <alignment horizontal="center" vertical="center" shrinkToFit="1"/>
    </xf>
    <xf numFmtId="0" fontId="51" fillId="9" borderId="1" xfId="2" applyNumberFormat="1" applyFont="1" applyFill="1" applyBorder="1" applyAlignment="1" applyProtection="1">
      <alignment horizontal="center" vertical="center" shrinkToFit="1"/>
    </xf>
    <xf numFmtId="0" fontId="51" fillId="9" borderId="18" xfId="2" applyNumberFormat="1" applyFont="1" applyFill="1" applyBorder="1" applyAlignment="1" applyProtection="1">
      <alignment horizontal="center" vertical="center" shrinkToFit="1"/>
    </xf>
    <xf numFmtId="49" fontId="55" fillId="9" borderId="1" xfId="2" applyNumberFormat="1" applyFont="1" applyFill="1" applyBorder="1" applyAlignment="1" applyProtection="1">
      <alignment horizontal="center" vertical="center" wrapText="1"/>
    </xf>
    <xf numFmtId="49" fontId="55" fillId="9" borderId="18" xfId="2" applyNumberFormat="1" applyFont="1" applyFill="1" applyBorder="1" applyAlignment="1" applyProtection="1">
      <alignment horizontal="center" vertical="center" wrapText="1"/>
    </xf>
    <xf numFmtId="49" fontId="41" fillId="9" borderId="1" xfId="2" applyNumberFormat="1" applyFont="1" applyFill="1" applyBorder="1" applyAlignment="1" applyProtection="1">
      <alignment horizontal="left" vertical="top"/>
    </xf>
    <xf numFmtId="49" fontId="41" fillId="9" borderId="18" xfId="2" applyNumberFormat="1" applyFont="1" applyFill="1" applyBorder="1" applyAlignment="1" applyProtection="1">
      <alignment horizontal="left" vertical="top"/>
    </xf>
    <xf numFmtId="0" fontId="42" fillId="8" borderId="17" xfId="2" applyFont="1" applyFill="1" applyBorder="1" applyAlignment="1" applyProtection="1">
      <alignment horizontal="center" vertical="center"/>
    </xf>
    <xf numFmtId="0" fontId="42" fillId="8" borderId="1" xfId="2" applyFont="1" applyFill="1" applyBorder="1" applyAlignment="1" applyProtection="1">
      <alignment horizontal="center" vertical="center"/>
    </xf>
    <xf numFmtId="0" fontId="6" fillId="9" borderId="1" xfId="2" applyNumberFormat="1" applyFont="1" applyFill="1" applyBorder="1" applyAlignment="1" applyProtection="1">
      <alignment horizontal="center" vertical="center"/>
    </xf>
    <xf numFmtId="0" fontId="36" fillId="8" borderId="14" xfId="2" applyFont="1" applyFill="1" applyBorder="1" applyAlignment="1" applyProtection="1">
      <alignment horizontal="center" vertical="center"/>
    </xf>
    <xf numFmtId="0" fontId="36" fillId="8" borderId="15" xfId="2" applyFont="1" applyFill="1" applyBorder="1" applyAlignment="1" applyProtection="1">
      <alignment horizontal="center" vertical="center"/>
    </xf>
    <xf numFmtId="0" fontId="36" fillId="8" borderId="16" xfId="2" applyFont="1" applyFill="1" applyBorder="1" applyAlignment="1" applyProtection="1">
      <alignment horizontal="center" vertical="center"/>
    </xf>
    <xf numFmtId="0" fontId="35" fillId="8" borderId="1" xfId="2" applyFont="1" applyFill="1" applyBorder="1" applyAlignment="1" applyProtection="1">
      <alignment horizontal="center" vertical="center" wrapText="1"/>
    </xf>
    <xf numFmtId="0" fontId="35" fillId="8" borderId="18" xfId="2" applyFont="1" applyFill="1" applyBorder="1" applyAlignment="1" applyProtection="1">
      <alignment horizontal="center" vertical="center" wrapText="1"/>
    </xf>
    <xf numFmtId="49" fontId="19" fillId="9" borderId="1" xfId="0" applyNumberFormat="1" applyFont="1" applyFill="1" applyBorder="1" applyAlignment="1" applyProtection="1">
      <alignment horizontal="center" vertical="center"/>
    </xf>
    <xf numFmtId="49" fontId="19" fillId="9" borderId="18" xfId="0" applyNumberFormat="1" applyFont="1" applyFill="1" applyBorder="1" applyAlignment="1" applyProtection="1">
      <alignment horizontal="center" vertical="center"/>
    </xf>
    <xf numFmtId="49" fontId="6" fillId="9" borderId="2" xfId="2" applyNumberFormat="1" applyFont="1" applyFill="1" applyBorder="1" applyAlignment="1" applyProtection="1">
      <alignment horizontal="center" vertical="top" wrapText="1"/>
    </xf>
    <xf numFmtId="49" fontId="6" fillId="9" borderId="3" xfId="2" applyNumberFormat="1" applyFont="1" applyFill="1" applyBorder="1" applyAlignment="1" applyProtection="1">
      <alignment horizontal="center" vertical="top" wrapText="1"/>
    </xf>
    <xf numFmtId="49" fontId="6" fillId="9" borderId="47" xfId="2" applyNumberFormat="1" applyFont="1" applyFill="1" applyBorder="1" applyAlignment="1" applyProtection="1">
      <alignment horizontal="center" vertical="top" wrapText="1"/>
    </xf>
    <xf numFmtId="0" fontId="33" fillId="2" borderId="35" xfId="2" applyFont="1" applyFill="1" applyBorder="1" applyAlignment="1" applyProtection="1">
      <alignment horizontal="center" vertical="center"/>
    </xf>
    <xf numFmtId="0" fontId="33" fillId="2" borderId="36" xfId="2" applyFont="1" applyFill="1" applyBorder="1" applyAlignment="1" applyProtection="1">
      <alignment horizontal="center" vertical="center"/>
    </xf>
    <xf numFmtId="0" fontId="33" fillId="2" borderId="56" xfId="2" applyFont="1" applyFill="1" applyBorder="1" applyAlignment="1" applyProtection="1">
      <alignment horizontal="center" vertical="center"/>
    </xf>
    <xf numFmtId="0" fontId="33" fillId="2" borderId="38" xfId="2" applyFont="1" applyFill="1" applyBorder="1" applyAlignment="1" applyProtection="1">
      <alignment horizontal="center" vertical="center"/>
    </xf>
    <xf numFmtId="0" fontId="33" fillId="2" borderId="0" xfId="2" applyFont="1" applyFill="1" applyBorder="1" applyAlignment="1" applyProtection="1">
      <alignment horizontal="center" vertical="center"/>
    </xf>
    <xf numFmtId="0" fontId="33" fillId="2" borderId="46" xfId="2" applyFont="1" applyFill="1" applyBorder="1" applyAlignment="1" applyProtection="1">
      <alignment horizontal="center" vertical="center"/>
    </xf>
    <xf numFmtId="0" fontId="33" fillId="2" borderId="31" xfId="2" applyFont="1" applyFill="1" applyBorder="1" applyAlignment="1" applyProtection="1">
      <alignment horizontal="center" vertical="center"/>
    </xf>
    <xf numFmtId="0" fontId="33" fillId="2" borderId="13" xfId="2" applyFont="1" applyFill="1" applyBorder="1" applyAlignment="1" applyProtection="1">
      <alignment horizontal="center" vertical="center"/>
    </xf>
    <xf numFmtId="0" fontId="33" fillId="2" borderId="8" xfId="2" applyFont="1" applyFill="1" applyBorder="1" applyAlignment="1" applyProtection="1">
      <alignment horizontal="center" vertical="center"/>
    </xf>
    <xf numFmtId="0" fontId="34" fillId="2" borderId="58" xfId="2" applyFont="1" applyFill="1" applyBorder="1" applyAlignment="1" applyProtection="1">
      <alignment horizontal="center" vertical="center"/>
    </xf>
    <xf numFmtId="0" fontId="34" fillId="2" borderId="36" xfId="2" applyFont="1" applyFill="1" applyBorder="1" applyAlignment="1" applyProtection="1">
      <alignment horizontal="center" vertical="center"/>
    </xf>
    <xf numFmtId="0" fontId="34" fillId="2" borderId="56" xfId="2" applyFont="1" applyFill="1" applyBorder="1" applyAlignment="1" applyProtection="1">
      <alignment horizontal="center" vertical="center"/>
    </xf>
    <xf numFmtId="0" fontId="34" fillId="2" borderId="45" xfId="2" applyFont="1" applyFill="1" applyBorder="1" applyAlignment="1" applyProtection="1">
      <alignment horizontal="center" vertical="center"/>
    </xf>
    <xf numFmtId="0" fontId="34" fillId="2" borderId="0" xfId="2" applyFont="1" applyFill="1" applyBorder="1" applyAlignment="1" applyProtection="1">
      <alignment horizontal="center" vertical="center"/>
    </xf>
    <xf numFmtId="0" fontId="34" fillId="2" borderId="46" xfId="2" applyFont="1" applyFill="1" applyBorder="1" applyAlignment="1" applyProtection="1">
      <alignment horizontal="center" vertical="center"/>
    </xf>
    <xf numFmtId="0" fontId="34" fillId="2" borderId="12" xfId="2" applyFont="1" applyFill="1" applyBorder="1" applyAlignment="1" applyProtection="1">
      <alignment horizontal="center" vertical="center"/>
    </xf>
    <xf numFmtId="0" fontId="34" fillId="2" borderId="13" xfId="2" applyFont="1" applyFill="1" applyBorder="1" applyAlignment="1" applyProtection="1">
      <alignment horizontal="center" vertical="center"/>
    </xf>
    <xf numFmtId="0" fontId="34" fillId="2" borderId="8" xfId="2" applyFont="1" applyFill="1" applyBorder="1" applyAlignment="1" applyProtection="1">
      <alignment horizontal="center" vertical="center"/>
    </xf>
    <xf numFmtId="0" fontId="6" fillId="2" borderId="58" xfId="2" applyFont="1" applyFill="1" applyBorder="1" applyAlignment="1" applyProtection="1">
      <alignment horizontal="center" vertical="center"/>
    </xf>
    <xf numFmtId="0" fontId="6" fillId="2" borderId="36" xfId="2" applyFont="1" applyFill="1" applyBorder="1" applyAlignment="1" applyProtection="1">
      <alignment horizontal="center" vertical="center"/>
    </xf>
    <xf numFmtId="0" fontId="6" fillId="2" borderId="37" xfId="2" applyFont="1" applyFill="1" applyBorder="1" applyAlignment="1" applyProtection="1">
      <alignment horizontal="center" vertical="center"/>
    </xf>
    <xf numFmtId="0" fontId="6" fillId="2" borderId="45"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0" fontId="6" fillId="2" borderId="39"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3" xfId="2" applyFont="1" applyFill="1" applyBorder="1" applyAlignment="1" applyProtection="1">
      <alignment horizontal="center" vertical="center"/>
    </xf>
    <xf numFmtId="0" fontId="6" fillId="2" borderId="60" xfId="2" applyFont="1" applyFill="1" applyBorder="1" applyAlignment="1" applyProtection="1">
      <alignment horizontal="center" vertical="center"/>
    </xf>
    <xf numFmtId="0" fontId="39" fillId="6" borderId="14" xfId="2" applyFont="1" applyFill="1" applyBorder="1" applyAlignment="1" applyProtection="1">
      <alignment horizontal="center" vertical="center"/>
    </xf>
    <xf numFmtId="0" fontId="39" fillId="6" borderId="15" xfId="2" applyFont="1" applyFill="1" applyBorder="1" applyAlignment="1" applyProtection="1">
      <alignment horizontal="center" vertical="center"/>
    </xf>
    <xf numFmtId="0" fontId="47" fillId="9" borderId="1" xfId="2" applyFont="1" applyFill="1" applyBorder="1" applyAlignment="1" applyProtection="1">
      <alignment horizontal="center" vertical="center" wrapText="1"/>
    </xf>
    <xf numFmtId="0" fontId="47" fillId="9" borderId="18" xfId="2" applyFont="1" applyFill="1" applyBorder="1" applyAlignment="1" applyProtection="1">
      <alignment horizontal="center" vertical="center" wrapText="1"/>
    </xf>
    <xf numFmtId="14" fontId="47" fillId="9" borderId="15" xfId="2" applyNumberFormat="1" applyFont="1" applyFill="1" applyBorder="1" applyAlignment="1" applyProtection="1">
      <alignment horizontal="center" vertical="center"/>
    </xf>
    <xf numFmtId="175" fontId="47" fillId="9" borderId="15" xfId="2" applyNumberFormat="1" applyFont="1" applyFill="1" applyBorder="1" applyAlignment="1" applyProtection="1">
      <alignment horizontal="center" vertical="center"/>
    </xf>
    <xf numFmtId="49" fontId="6" fillId="9" borderId="1" xfId="2" applyNumberFormat="1" applyFont="1" applyFill="1" applyBorder="1" applyAlignment="1" applyProtection="1">
      <alignment horizontal="center" vertical="center" wrapText="1"/>
    </xf>
    <xf numFmtId="49" fontId="6" fillId="9" borderId="18" xfId="2" applyNumberFormat="1" applyFont="1" applyFill="1" applyBorder="1" applyAlignment="1" applyProtection="1">
      <alignment horizontal="center" vertical="center" wrapText="1"/>
    </xf>
    <xf numFmtId="0" fontId="39" fillId="8" borderId="20" xfId="2" applyFont="1" applyFill="1" applyBorder="1" applyAlignment="1" applyProtection="1">
      <alignment horizontal="center" vertical="center"/>
    </xf>
    <xf numFmtId="0" fontId="39" fillId="8" borderId="21" xfId="2" applyFont="1" applyFill="1" applyBorder="1" applyAlignment="1" applyProtection="1">
      <alignment horizontal="center" vertical="center"/>
    </xf>
    <xf numFmtId="49" fontId="6" fillId="9" borderId="16" xfId="2" applyNumberFormat="1" applyFont="1" applyFill="1" applyBorder="1" applyAlignment="1" applyProtection="1">
      <alignment horizontal="center" vertical="center"/>
    </xf>
    <xf numFmtId="0" fontId="55" fillId="12" borderId="1" xfId="2" applyFont="1" applyFill="1" applyBorder="1" applyAlignment="1" applyProtection="1">
      <alignment horizontal="center" vertical="center"/>
    </xf>
    <xf numFmtId="0" fontId="55" fillId="12" borderId="18" xfId="2" applyFont="1" applyFill="1" applyBorder="1" applyAlignment="1" applyProtection="1">
      <alignment horizontal="center" vertical="center"/>
    </xf>
    <xf numFmtId="0" fontId="39" fillId="8" borderId="15" xfId="2" applyFont="1" applyFill="1" applyBorder="1" applyAlignment="1" applyProtection="1">
      <alignment horizontal="center" vertical="center" wrapText="1"/>
    </xf>
    <xf numFmtId="0" fontId="55" fillId="12" borderId="15" xfId="2" applyFont="1" applyFill="1" applyBorder="1" applyAlignment="1" applyProtection="1">
      <alignment horizontal="center" vertical="center"/>
    </xf>
    <xf numFmtId="0" fontId="55" fillId="12" borderId="16" xfId="2" applyFont="1" applyFill="1" applyBorder="1" applyAlignment="1" applyProtection="1">
      <alignment horizontal="center" vertical="center"/>
    </xf>
    <xf numFmtId="0" fontId="48" fillId="9" borderId="21" xfId="2" applyFont="1" applyFill="1" applyBorder="1" applyAlignment="1" applyProtection="1">
      <alignment horizontal="justify" vertical="center" wrapText="1"/>
    </xf>
    <xf numFmtId="0" fontId="48" fillId="9" borderId="22" xfId="2" applyFont="1" applyFill="1" applyBorder="1" applyAlignment="1" applyProtection="1">
      <alignment horizontal="justify" vertical="center" wrapText="1"/>
    </xf>
    <xf numFmtId="0" fontId="53" fillId="9" borderId="1" xfId="2" applyFont="1" applyFill="1" applyBorder="1" applyAlignment="1" applyProtection="1">
      <alignment horizontal="center" vertical="center"/>
    </xf>
    <xf numFmtId="0" fontId="35" fillId="8" borderId="15" xfId="2" applyFont="1" applyFill="1" applyBorder="1" applyAlignment="1" applyProtection="1">
      <alignment horizontal="center" vertical="center"/>
    </xf>
    <xf numFmtId="0" fontId="35" fillId="8" borderId="16" xfId="2" applyFont="1" applyFill="1" applyBorder="1" applyAlignment="1" applyProtection="1">
      <alignment horizontal="center" vertical="center"/>
    </xf>
    <xf numFmtId="49" fontId="6" fillId="9" borderId="1" xfId="2" applyNumberFormat="1" applyFont="1" applyFill="1" applyBorder="1" applyAlignment="1" applyProtection="1">
      <alignment horizontal="center"/>
    </xf>
    <xf numFmtId="49" fontId="6" fillId="9" borderId="18" xfId="2" applyNumberFormat="1" applyFont="1" applyFill="1" applyBorder="1" applyAlignment="1" applyProtection="1">
      <alignment horizontal="center"/>
    </xf>
    <xf numFmtId="49" fontId="6" fillId="11" borderId="1" xfId="2" applyNumberFormat="1" applyFont="1" applyFill="1" applyBorder="1" applyAlignment="1" applyProtection="1">
      <alignment horizontal="center" vertical="center"/>
    </xf>
    <xf numFmtId="49" fontId="6" fillId="11" borderId="18" xfId="2" applyNumberFormat="1" applyFont="1" applyFill="1" applyBorder="1" applyAlignment="1" applyProtection="1">
      <alignment horizontal="center" vertical="center"/>
    </xf>
    <xf numFmtId="0" fontId="49" fillId="2" borderId="65" xfId="2" quotePrefix="1" applyFont="1" applyFill="1" applyBorder="1" applyAlignment="1" applyProtection="1">
      <alignment horizontal="center" vertical="center"/>
      <protection hidden="1"/>
    </xf>
    <xf numFmtId="0" fontId="49" fillId="2" borderId="28" xfId="2" quotePrefix="1" applyFont="1" applyFill="1" applyBorder="1" applyAlignment="1" applyProtection="1">
      <alignment horizontal="center" vertical="center"/>
      <protection hidden="1"/>
    </xf>
    <xf numFmtId="0" fontId="6" fillId="8" borderId="15" xfId="2" applyNumberFormat="1" applyFont="1" applyFill="1" applyBorder="1" applyAlignment="1" applyProtection="1">
      <alignment horizontal="center" vertical="center"/>
      <protection hidden="1"/>
    </xf>
    <xf numFmtId="0" fontId="39" fillId="8" borderId="15" xfId="2" applyFont="1" applyFill="1" applyBorder="1" applyAlignment="1" applyProtection="1">
      <alignment horizontal="center" vertical="top" wrapText="1"/>
    </xf>
    <xf numFmtId="0" fontId="39" fillId="8" borderId="1" xfId="2" applyFont="1" applyFill="1" applyBorder="1" applyAlignment="1" applyProtection="1">
      <alignment horizontal="center" vertical="top" wrapText="1"/>
    </xf>
    <xf numFmtId="0" fontId="43" fillId="8" borderId="17" xfId="2" applyFont="1" applyFill="1" applyBorder="1" applyAlignment="1" applyProtection="1">
      <alignment horizontal="center" vertical="center"/>
    </xf>
    <xf numFmtId="0" fontId="43" fillId="8" borderId="1" xfId="2" applyFont="1" applyFill="1" applyBorder="1" applyAlignment="1" applyProtection="1">
      <alignment horizontal="center" vertical="center"/>
    </xf>
    <xf numFmtId="49" fontId="6" fillId="9" borderId="18" xfId="2" applyNumberFormat="1" applyFont="1" applyFill="1" applyBorder="1" applyAlignment="1" applyProtection="1">
      <alignment vertical="center"/>
    </xf>
    <xf numFmtId="0" fontId="36" fillId="8" borderId="17" xfId="2" applyFont="1" applyFill="1" applyBorder="1" applyAlignment="1" applyProtection="1">
      <alignment horizontal="center" vertical="center"/>
    </xf>
    <xf numFmtId="0" fontId="36" fillId="8" borderId="1" xfId="2" applyFont="1" applyFill="1" applyBorder="1" applyAlignment="1" applyProtection="1">
      <alignment horizontal="center" vertical="center"/>
    </xf>
    <xf numFmtId="0" fontId="36" fillId="8" borderId="18" xfId="2" applyFont="1" applyFill="1" applyBorder="1" applyAlignment="1" applyProtection="1">
      <alignment horizontal="center" vertical="center"/>
    </xf>
    <xf numFmtId="0" fontId="43" fillId="8" borderId="1" xfId="2" applyFont="1" applyFill="1" applyBorder="1" applyAlignment="1" applyProtection="1">
      <alignment horizontal="center" vertical="top"/>
    </xf>
    <xf numFmtId="0" fontId="35" fillId="6" borderId="17" xfId="2" applyFont="1" applyFill="1" applyBorder="1" applyAlignment="1" applyProtection="1">
      <alignment horizontal="center"/>
    </xf>
    <xf numFmtId="0" fontId="35" fillId="6" borderId="1" xfId="2" applyFont="1" applyFill="1" applyBorder="1" applyAlignment="1" applyProtection="1">
      <alignment horizontal="center"/>
    </xf>
    <xf numFmtId="0" fontId="36" fillId="8" borderId="17" xfId="2" applyFont="1" applyFill="1" applyBorder="1" applyAlignment="1" applyProtection="1">
      <alignment horizontal="right" vertical="center"/>
    </xf>
    <xf numFmtId="0" fontId="36" fillId="8" borderId="1" xfId="2" applyFont="1" applyFill="1" applyBorder="1" applyAlignment="1" applyProtection="1">
      <alignment horizontal="right" vertical="center"/>
    </xf>
    <xf numFmtId="0" fontId="35" fillId="8" borderId="15" xfId="2" applyFont="1" applyFill="1" applyBorder="1" applyAlignment="1" applyProtection="1">
      <alignment horizontal="center" vertical="center" wrapText="1"/>
    </xf>
    <xf numFmtId="0" fontId="43" fillId="8" borderId="40" xfId="2" applyFont="1" applyFill="1" applyBorder="1" applyAlignment="1" applyProtection="1">
      <alignment horizontal="left" vertical="center"/>
    </xf>
    <xf numFmtId="0" fontId="43" fillId="8" borderId="5" xfId="2" applyFont="1" applyFill="1" applyBorder="1" applyAlignment="1" applyProtection="1">
      <alignment horizontal="left" vertical="center"/>
    </xf>
    <xf numFmtId="0" fontId="35" fillId="8" borderId="1" xfId="2" applyFont="1" applyFill="1" applyBorder="1" applyAlignment="1" applyProtection="1">
      <alignment horizontal="center" vertical="center"/>
    </xf>
    <xf numFmtId="49" fontId="48" fillId="9" borderId="1" xfId="2" applyNumberFormat="1" applyFont="1" applyFill="1" applyBorder="1" applyAlignment="1" applyProtection="1">
      <alignment horizontal="left" vertical="top" wrapText="1"/>
    </xf>
    <xf numFmtId="49" fontId="48" fillId="9" borderId="18" xfId="2" applyNumberFormat="1" applyFont="1" applyFill="1" applyBorder="1" applyAlignment="1" applyProtection="1">
      <alignment horizontal="left" vertical="top" wrapText="1"/>
    </xf>
    <xf numFmtId="0" fontId="39" fillId="0" borderId="35" xfId="2" applyFont="1" applyFill="1" applyBorder="1" applyAlignment="1" applyProtection="1">
      <alignment horizontal="center" vertical="center"/>
    </xf>
    <xf numFmtId="0" fontId="39" fillId="0" borderId="36" xfId="2" applyFont="1" applyFill="1" applyBorder="1" applyAlignment="1" applyProtection="1">
      <alignment horizontal="center" vertical="center"/>
    </xf>
    <xf numFmtId="0" fontId="39" fillId="0" borderId="37" xfId="2" applyFont="1" applyFill="1" applyBorder="1" applyAlignment="1" applyProtection="1">
      <alignment horizontal="center" vertical="center"/>
    </xf>
    <xf numFmtId="49" fontId="6" fillId="9" borderId="1" xfId="2" applyNumberFormat="1" applyFont="1" applyFill="1" applyBorder="1" applyAlignment="1" applyProtection="1">
      <alignment horizontal="left" vertical="top"/>
    </xf>
    <xf numFmtId="49" fontId="6" fillId="9" borderId="21" xfId="2" applyNumberFormat="1" applyFont="1" applyFill="1" applyBorder="1" applyAlignment="1" applyProtection="1">
      <alignment horizontal="left" vertical="top"/>
    </xf>
    <xf numFmtId="0" fontId="35" fillId="8" borderId="1" xfId="2" applyFont="1" applyFill="1" applyBorder="1" applyAlignment="1" applyProtection="1">
      <alignment horizontal="left" vertical="center"/>
    </xf>
    <xf numFmtId="0" fontId="35" fillId="8" borderId="17" xfId="2" applyFont="1" applyFill="1" applyBorder="1" applyAlignment="1" applyProtection="1">
      <alignment horizontal="left" vertical="center"/>
    </xf>
    <xf numFmtId="0" fontId="43" fillId="8" borderId="19" xfId="2" applyFont="1" applyFill="1" applyBorder="1" applyAlignment="1" applyProtection="1">
      <alignment horizontal="center" vertical="center"/>
    </xf>
    <xf numFmtId="0" fontId="43" fillId="8" borderId="3" xfId="2" applyFont="1" applyFill="1" applyBorder="1" applyAlignment="1" applyProtection="1">
      <alignment horizontal="center" vertical="center"/>
    </xf>
    <xf numFmtId="0" fontId="43" fillId="8" borderId="4" xfId="2" applyFont="1" applyFill="1" applyBorder="1" applyAlignment="1" applyProtection="1">
      <alignment horizontal="center" vertical="center"/>
    </xf>
    <xf numFmtId="0" fontId="39" fillId="8" borderId="14" xfId="2" applyFont="1" applyFill="1" applyBorder="1" applyAlignment="1" applyProtection="1">
      <alignment horizontal="center"/>
    </xf>
    <xf numFmtId="0" fontId="39" fillId="8" borderId="15" xfId="2" applyFont="1" applyFill="1" applyBorder="1" applyAlignment="1" applyProtection="1">
      <alignment horizontal="center"/>
    </xf>
    <xf numFmtId="0" fontId="39" fillId="8" borderId="16" xfId="2" applyFont="1" applyFill="1" applyBorder="1" applyAlignment="1" applyProtection="1">
      <alignment horizontal="center"/>
    </xf>
    <xf numFmtId="49" fontId="34" fillId="9" borderId="1" xfId="2" applyNumberFormat="1" applyFont="1" applyFill="1" applyBorder="1" applyAlignment="1" applyProtection="1">
      <alignment horizontal="center" vertical="center" wrapText="1"/>
    </xf>
    <xf numFmtId="0" fontId="35" fillId="8" borderId="18" xfId="2" applyFont="1" applyFill="1" applyBorder="1" applyAlignment="1" applyProtection="1">
      <alignment horizontal="center" vertical="center"/>
    </xf>
    <xf numFmtId="0" fontId="42" fillId="2" borderId="19" xfId="2" applyFont="1" applyFill="1" applyBorder="1" applyAlignment="1" applyProtection="1">
      <alignment horizontal="center" vertical="center"/>
    </xf>
    <xf numFmtId="0" fontId="42" fillId="2" borderId="3" xfId="2" applyFont="1" applyFill="1" applyBorder="1" applyAlignment="1" applyProtection="1">
      <alignment horizontal="center" vertical="center"/>
    </xf>
    <xf numFmtId="0" fontId="42" fillId="2" borderId="47" xfId="2" applyFont="1" applyFill="1" applyBorder="1" applyAlignment="1" applyProtection="1">
      <alignment horizontal="center" vertical="center"/>
    </xf>
    <xf numFmtId="0" fontId="43" fillId="8" borderId="15" xfId="2" applyFont="1" applyFill="1" applyBorder="1" applyAlignment="1" applyProtection="1">
      <alignment horizontal="center" vertical="center" wrapText="1"/>
    </xf>
    <xf numFmtId="0" fontId="43" fillId="8" borderId="1" xfId="2" applyFont="1" applyFill="1" applyBorder="1" applyAlignment="1" applyProtection="1">
      <alignment horizontal="center" vertical="center" wrapText="1"/>
    </xf>
    <xf numFmtId="49" fontId="34" fillId="9" borderId="15" xfId="2" applyNumberFormat="1" applyFont="1" applyFill="1" applyBorder="1" applyAlignment="1" applyProtection="1">
      <alignment horizontal="center" vertical="center" wrapText="1"/>
    </xf>
    <xf numFmtId="49" fontId="34" fillId="9" borderId="16" xfId="2" applyNumberFormat="1" applyFont="1" applyFill="1" applyBorder="1" applyAlignment="1" applyProtection="1">
      <alignment horizontal="center" vertical="center" wrapText="1"/>
    </xf>
    <xf numFmtId="49" fontId="34" fillId="9" borderId="18" xfId="2" applyNumberFormat="1" applyFont="1" applyFill="1" applyBorder="1" applyAlignment="1" applyProtection="1">
      <alignment horizontal="center" vertical="center" wrapText="1"/>
    </xf>
    <xf numFmtId="0" fontId="39" fillId="8" borderId="20" xfId="2" applyFont="1" applyFill="1" applyBorder="1" applyAlignment="1" applyProtection="1">
      <alignment horizontal="left" vertical="center"/>
    </xf>
    <xf numFmtId="0" fontId="2" fillId="0" borderId="5" xfId="0" applyFont="1" applyBorder="1" applyAlignment="1" applyProtection="1">
      <alignment horizontal="center" vertical="center" textRotation="90"/>
    </xf>
    <xf numFmtId="0" fontId="2" fillId="0" borderId="6" xfId="0" applyFont="1" applyBorder="1" applyAlignment="1" applyProtection="1">
      <alignment horizontal="center" vertical="center" textRotation="90"/>
    </xf>
    <xf numFmtId="0" fontId="2" fillId="0" borderId="7" xfId="0" applyFont="1" applyBorder="1" applyAlignment="1" applyProtection="1">
      <alignment horizontal="center" vertical="center" textRotation="90"/>
    </xf>
    <xf numFmtId="0" fontId="23" fillId="0" borderId="17" xfId="0" applyFont="1" applyBorder="1" applyAlignment="1" applyProtection="1">
      <alignment horizontal="center"/>
      <protection hidden="1"/>
    </xf>
    <xf numFmtId="0" fontId="23" fillId="0" borderId="1" xfId="0" applyFont="1" applyBorder="1" applyAlignment="1" applyProtection="1">
      <alignment horizontal="center"/>
      <protection hidden="1"/>
    </xf>
    <xf numFmtId="0" fontId="2" fillId="0" borderId="17"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49" fontId="0" fillId="0" borderId="1" xfId="0" applyNumberFormat="1" applyBorder="1" applyAlignment="1" applyProtection="1">
      <alignment horizontal="center"/>
    </xf>
    <xf numFmtId="0" fontId="0" fillId="0" borderId="1" xfId="0" applyBorder="1" applyAlignment="1" applyProtection="1">
      <alignment horizontal="center"/>
    </xf>
    <xf numFmtId="0" fontId="2" fillId="0" borderId="1" xfId="0" applyFont="1" applyBorder="1" applyAlignment="1" applyProtection="1">
      <alignment horizontal="center" vertical="center" textRotation="90" wrapText="1"/>
    </xf>
    <xf numFmtId="0" fontId="20" fillId="0" borderId="1" xfId="0" applyFont="1" applyFill="1" applyBorder="1" applyAlignment="1" applyProtection="1">
      <alignment horizontal="left" vertical="top" wrapText="1"/>
    </xf>
    <xf numFmtId="14" fontId="0" fillId="0" borderId="1" xfId="0" applyNumberFormat="1" applyBorder="1" applyAlignment="1" applyProtection="1">
      <alignment horizontal="center"/>
    </xf>
    <xf numFmtId="0" fontId="20" fillId="0" borderId="1" xfId="0" applyFont="1" applyBorder="1" applyAlignment="1" applyProtection="1">
      <alignment horizontal="left" vertical="top" wrapText="1"/>
    </xf>
    <xf numFmtId="0" fontId="50" fillId="0" borderId="7" xfId="0" applyFont="1" applyBorder="1" applyAlignment="1" applyProtection="1">
      <alignment horizontal="center" vertical="center" wrapText="1"/>
      <protection hidden="1"/>
    </xf>
    <xf numFmtId="0" fontId="50" fillId="0" borderId="24" xfId="0" applyFont="1" applyBorder="1" applyAlignment="1" applyProtection="1">
      <alignment horizontal="center" vertical="center" wrapText="1"/>
      <protection hidden="1"/>
    </xf>
    <xf numFmtId="0" fontId="50" fillId="0" borderId="7" xfId="0" applyFont="1" applyFill="1" applyBorder="1" applyAlignment="1" applyProtection="1">
      <alignment horizontal="center" vertical="center" wrapText="1"/>
      <protection hidden="1"/>
    </xf>
    <xf numFmtId="0" fontId="50" fillId="0" borderId="24" xfId="0" applyFont="1" applyFill="1" applyBorder="1" applyAlignment="1" applyProtection="1">
      <alignment horizontal="center" vertical="center" wrapText="1"/>
      <protection hidden="1"/>
    </xf>
    <xf numFmtId="0" fontId="0" fillId="0" borderId="1" xfId="0" applyBorder="1" applyAlignment="1" applyProtection="1">
      <alignment horizontal="left" vertical="center"/>
    </xf>
    <xf numFmtId="0" fontId="25" fillId="0" borderId="1" xfId="0" applyFont="1" applyBorder="1" applyAlignment="1" applyProtection="1">
      <alignment horizontal="center" vertical="center" wrapText="1"/>
      <protection hidden="1"/>
    </xf>
    <xf numFmtId="0" fontId="25" fillId="0" borderId="18" xfId="0" applyFont="1" applyBorder="1" applyAlignment="1" applyProtection="1">
      <alignment horizontal="center" vertical="center" wrapText="1"/>
      <protection hidden="1"/>
    </xf>
    <xf numFmtId="0" fontId="20" fillId="0" borderId="1" xfId="0" applyFont="1" applyBorder="1" applyAlignment="1" applyProtection="1">
      <alignment horizontal="left" vertical="top"/>
    </xf>
    <xf numFmtId="0" fontId="2" fillId="0" borderId="30"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5" fillId="0" borderId="7"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xf>
    <xf numFmtId="0" fontId="50" fillId="0" borderId="1" xfId="0" applyFont="1" applyBorder="1" applyAlignment="1" applyProtection="1">
      <alignment horizontal="center" vertical="center" wrapText="1"/>
      <protection hidden="1"/>
    </xf>
    <xf numFmtId="0" fontId="57" fillId="0" borderId="15" xfId="0" applyFont="1" applyBorder="1" applyAlignment="1" applyProtection="1">
      <alignment horizontal="center" vertical="center" wrapText="1"/>
      <protection hidden="1"/>
    </xf>
    <xf numFmtId="0" fontId="57" fillId="0" borderId="21"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wrapText="1"/>
      <protection hidden="1"/>
    </xf>
    <xf numFmtId="0" fontId="14" fillId="0" borderId="25" xfId="0" applyFont="1" applyBorder="1" applyAlignment="1" applyProtection="1">
      <alignment horizontal="center" vertical="center" wrapText="1"/>
      <protection hidden="1"/>
    </xf>
    <xf numFmtId="0" fontId="14" fillId="0" borderId="54"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wrapText="1"/>
      <protection hidden="1"/>
    </xf>
    <xf numFmtId="0" fontId="2" fillId="0" borderId="40" xfId="0" applyFont="1" applyBorder="1" applyAlignment="1" applyProtection="1">
      <alignment horizontal="center" vertical="center" textRotation="90" wrapText="1"/>
    </xf>
    <xf numFmtId="0" fontId="2" fillId="0" borderId="41" xfId="0" applyFont="1" applyBorder="1" applyAlignment="1" applyProtection="1">
      <alignment horizontal="center" vertical="center" textRotation="90" wrapText="1"/>
    </xf>
    <xf numFmtId="0" fontId="2" fillId="0" borderId="23" xfId="0" applyFont="1" applyBorder="1" applyAlignment="1" applyProtection="1">
      <alignment horizontal="center" vertical="center" textRotation="90" wrapText="1"/>
    </xf>
    <xf numFmtId="0" fontId="58" fillId="0" borderId="35" xfId="0" applyFont="1" applyBorder="1" applyAlignment="1" applyProtection="1">
      <alignment horizontal="right" vertical="center" wrapText="1"/>
      <protection hidden="1"/>
    </xf>
    <xf numFmtId="0" fontId="58" fillId="0" borderId="36" xfId="0" applyFont="1" applyBorder="1" applyAlignment="1" applyProtection="1">
      <alignment horizontal="right" vertical="center" wrapText="1"/>
      <protection hidden="1"/>
    </xf>
    <xf numFmtId="0" fontId="58" fillId="0" borderId="56" xfId="0" applyFont="1" applyBorder="1" applyAlignment="1" applyProtection="1">
      <alignment horizontal="right" vertical="center" wrapText="1"/>
      <protection hidden="1"/>
    </xf>
    <xf numFmtId="0" fontId="58" fillId="0" borderId="42" xfId="0" applyFont="1" applyBorder="1" applyAlignment="1" applyProtection="1">
      <alignment horizontal="right" vertical="center" wrapText="1"/>
      <protection hidden="1"/>
    </xf>
    <xf numFmtId="0" fontId="58" fillId="0" borderId="43" xfId="0" applyFont="1" applyBorder="1" applyAlignment="1" applyProtection="1">
      <alignment horizontal="right" vertical="center" wrapText="1"/>
      <protection hidden="1"/>
    </xf>
    <xf numFmtId="0" fontId="58" fillId="0" borderId="57" xfId="0" applyFont="1" applyBorder="1" applyAlignment="1" applyProtection="1">
      <alignment horizontal="right" vertical="center" wrapText="1"/>
      <protection hidden="1"/>
    </xf>
    <xf numFmtId="0" fontId="23" fillId="0" borderId="21" xfId="0" applyFont="1" applyBorder="1" applyAlignment="1" applyProtection="1">
      <alignment horizontal="center" vertical="center" wrapText="1"/>
      <protection hidden="1"/>
    </xf>
    <xf numFmtId="0" fontId="23" fillId="0" borderId="22" xfId="0" applyFont="1" applyBorder="1" applyAlignment="1" applyProtection="1">
      <alignment horizontal="center" vertical="center" wrapText="1"/>
      <protection hidden="1"/>
    </xf>
    <xf numFmtId="0" fontId="52" fillId="0" borderId="70" xfId="0" applyFont="1" applyBorder="1" applyAlignment="1" applyProtection="1">
      <alignment horizontal="center"/>
    </xf>
    <xf numFmtId="0" fontId="52" fillId="0" borderId="74" xfId="0" applyFont="1" applyBorder="1" applyAlignment="1" applyProtection="1">
      <alignment horizontal="center"/>
    </xf>
    <xf numFmtId="0" fontId="52" fillId="0" borderId="71" xfId="0" applyFont="1" applyBorder="1" applyAlignment="1" applyProtection="1">
      <alignment horizontal="center"/>
    </xf>
    <xf numFmtId="0" fontId="2" fillId="0" borderId="17" xfId="0" applyFont="1" applyBorder="1" applyAlignment="1" applyProtection="1">
      <alignment horizontal="center" vertical="center" textRotation="90" wrapText="1"/>
    </xf>
    <xf numFmtId="0" fontId="19" fillId="0" borderId="2"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30" fillId="0" borderId="1" xfId="0" applyFont="1" applyBorder="1" applyAlignment="1" applyProtection="1">
      <alignment horizontal="center" wrapText="1"/>
      <protection hidden="1"/>
    </xf>
    <xf numFmtId="0" fontId="58" fillId="0" borderId="14" xfId="0" applyFont="1" applyBorder="1" applyAlignment="1" applyProtection="1">
      <alignment horizontal="right" vertical="center" wrapText="1"/>
      <protection hidden="1"/>
    </xf>
    <xf numFmtId="0" fontId="58" fillId="0" borderId="15" xfId="0" applyFont="1" applyBorder="1" applyAlignment="1" applyProtection="1">
      <alignment horizontal="right" vertical="center" wrapText="1"/>
      <protection hidden="1"/>
    </xf>
    <xf numFmtId="0" fontId="58" fillId="0" borderId="20" xfId="0" applyFont="1" applyBorder="1" applyAlignment="1" applyProtection="1">
      <alignment horizontal="right" vertical="center" wrapText="1"/>
      <protection hidden="1"/>
    </xf>
    <xf numFmtId="0" fontId="58" fillId="0" borderId="21" xfId="0" applyFont="1" applyBorder="1" applyAlignment="1" applyProtection="1">
      <alignment horizontal="right" vertical="center" wrapText="1"/>
      <protection hidden="1"/>
    </xf>
    <xf numFmtId="0" fontId="14" fillId="0" borderId="16" xfId="0" applyFont="1" applyBorder="1" applyAlignment="1" applyProtection="1">
      <alignment horizontal="center" vertical="center" wrapText="1"/>
      <protection hidden="1"/>
    </xf>
    <xf numFmtId="14" fontId="14" fillId="0" borderId="21" xfId="0" applyNumberFormat="1" applyFont="1" applyBorder="1" applyAlignment="1" applyProtection="1">
      <alignment horizontal="center" vertical="center" wrapText="1"/>
      <protection hidden="1"/>
    </xf>
    <xf numFmtId="14" fontId="14" fillId="0" borderId="22" xfId="0" applyNumberFormat="1" applyFont="1" applyBorder="1" applyAlignment="1" applyProtection="1">
      <alignment horizontal="center" vertical="center" wrapText="1"/>
      <protection hidden="1"/>
    </xf>
    <xf numFmtId="0" fontId="50" fillId="4" borderId="2" xfId="0" applyFont="1" applyFill="1" applyBorder="1" applyAlignment="1" applyProtection="1">
      <alignment horizontal="center" vertical="center" wrapText="1"/>
      <protection hidden="1"/>
    </xf>
    <xf numFmtId="0" fontId="50" fillId="4" borderId="4" xfId="0" applyFont="1" applyFill="1" applyBorder="1" applyAlignment="1" applyProtection="1">
      <alignment horizontal="center" vertical="center" wrapText="1"/>
      <protection hidden="1"/>
    </xf>
    <xf numFmtId="0" fontId="25" fillId="4" borderId="2" xfId="0" applyFont="1" applyFill="1" applyBorder="1" applyAlignment="1" applyProtection="1">
      <alignment horizontal="left" vertical="center" wrapText="1"/>
      <protection hidden="1"/>
    </xf>
    <xf numFmtId="0" fontId="25" fillId="4" borderId="3" xfId="0" applyFont="1" applyFill="1" applyBorder="1" applyAlignment="1" applyProtection="1">
      <alignment horizontal="left" vertical="center" wrapText="1"/>
      <protection hidden="1"/>
    </xf>
    <xf numFmtId="0" fontId="25" fillId="4" borderId="4" xfId="0" applyFont="1" applyFill="1" applyBorder="1" applyAlignment="1" applyProtection="1">
      <alignment horizontal="left" vertical="center" wrapText="1"/>
      <protection hidden="1"/>
    </xf>
    <xf numFmtId="0" fontId="2" fillId="0" borderId="10"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5" fillId="5" borderId="2"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50" fillId="5" borderId="2" xfId="0" applyFont="1" applyFill="1" applyBorder="1" applyAlignment="1" applyProtection="1">
      <alignment horizontal="center" vertical="center"/>
    </xf>
    <xf numFmtId="0" fontId="50" fillId="5" borderId="4" xfId="0" applyFont="1" applyFill="1" applyBorder="1" applyAlignment="1" applyProtection="1">
      <alignment horizontal="center" vertical="center"/>
    </xf>
    <xf numFmtId="0" fontId="0" fillId="12" borderId="1" xfId="0" applyFill="1" applyBorder="1" applyAlignment="1" applyProtection="1">
      <alignment horizontal="left"/>
    </xf>
    <xf numFmtId="0" fontId="0" fillId="12" borderId="1" xfId="0" applyFont="1" applyFill="1" applyBorder="1" applyAlignment="1" applyProtection="1">
      <alignment horizontal="left"/>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49" fontId="8" fillId="0" borderId="2" xfId="0" applyNumberFormat="1" applyFont="1" applyFill="1" applyBorder="1" applyAlignment="1" applyProtection="1">
      <alignment horizontal="center" vertical="center"/>
      <protection hidden="1"/>
    </xf>
    <xf numFmtId="49" fontId="8" fillId="0" borderId="4" xfId="0" applyNumberFormat="1" applyFont="1" applyFill="1" applyBorder="1" applyAlignment="1" applyProtection="1">
      <alignment horizontal="center" vertical="center"/>
      <protection hidden="1"/>
    </xf>
    <xf numFmtId="49" fontId="23" fillId="4" borderId="1" xfId="0" applyNumberFormat="1" applyFont="1" applyFill="1" applyBorder="1" applyAlignment="1" applyProtection="1">
      <alignment horizontal="center" vertical="center"/>
      <protection hidden="1"/>
    </xf>
    <xf numFmtId="49" fontId="23" fillId="5"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1" xfId="0" applyFill="1" applyBorder="1" applyAlignment="1" applyProtection="1">
      <alignment horizontal="left" vertical="center" wrapText="1"/>
      <protection hidden="1"/>
    </xf>
    <xf numFmtId="0" fontId="0" fillId="0" borderId="17" xfId="0" applyBorder="1" applyAlignment="1" applyProtection="1">
      <alignment horizontal="center"/>
      <protection hidden="1"/>
    </xf>
    <xf numFmtId="0" fontId="0" fillId="0" borderId="1" xfId="0" applyBorder="1" applyAlignment="1" applyProtection="1">
      <alignment horizontal="center"/>
      <protection hidden="1"/>
    </xf>
    <xf numFmtId="0" fontId="0" fillId="12" borderId="2" xfId="0" applyFill="1" applyBorder="1" applyAlignment="1" applyProtection="1">
      <alignment horizontal="left" vertical="center" wrapText="1"/>
    </xf>
    <xf numFmtId="0" fontId="0" fillId="12" borderId="3" xfId="0" applyFill="1" applyBorder="1" applyAlignment="1" applyProtection="1">
      <alignment horizontal="left" vertical="center" wrapText="1"/>
    </xf>
    <xf numFmtId="0" fontId="0" fillId="12" borderId="4" xfId="0" applyFill="1" applyBorder="1" applyAlignment="1" applyProtection="1">
      <alignment horizontal="left" vertical="center" wrapText="1"/>
    </xf>
    <xf numFmtId="0" fontId="25" fillId="0" borderId="1" xfId="0" applyFont="1" applyFill="1" applyBorder="1" applyAlignment="1" applyProtection="1">
      <alignment horizontal="justify" vertical="top" wrapText="1"/>
      <protection hidden="1"/>
    </xf>
    <xf numFmtId="0" fontId="20" fillId="12" borderId="2" xfId="0" applyFont="1" applyFill="1" applyBorder="1" applyAlignment="1" applyProtection="1">
      <alignment horizontal="justify" vertical="top" wrapText="1"/>
    </xf>
    <xf numFmtId="0" fontId="20" fillId="12" borderId="3" xfId="0" applyFont="1" applyFill="1" applyBorder="1" applyAlignment="1" applyProtection="1">
      <alignment horizontal="justify" vertical="top" wrapText="1"/>
    </xf>
    <xf numFmtId="0" fontId="20" fillId="12" borderId="4" xfId="0" applyFont="1" applyFill="1" applyBorder="1" applyAlignment="1" applyProtection="1">
      <alignment horizontal="justify" vertical="top" wrapText="1"/>
    </xf>
    <xf numFmtId="0" fontId="0" fillId="0" borderId="5" xfId="0" applyBorder="1" applyAlignment="1" applyProtection="1">
      <alignment horizontal="center"/>
      <protection hidden="1"/>
    </xf>
    <xf numFmtId="0" fontId="0" fillId="0" borderId="7" xfId="0" applyBorder="1" applyAlignment="1" applyProtection="1">
      <alignment horizontal="center"/>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49" fontId="8" fillId="0" borderId="2" xfId="0" applyNumberFormat="1" applyFont="1" applyFill="1" applyBorder="1" applyAlignment="1" applyProtection="1">
      <alignment horizontal="center"/>
      <protection hidden="1"/>
    </xf>
    <xf numFmtId="49" fontId="8" fillId="0" borderId="3" xfId="0" applyNumberFormat="1" applyFont="1" applyFill="1" applyBorder="1" applyAlignment="1" applyProtection="1">
      <alignment horizontal="center"/>
      <protection hidden="1"/>
    </xf>
    <xf numFmtId="49" fontId="8" fillId="0" borderId="4" xfId="0" applyNumberFormat="1" applyFont="1" applyFill="1" applyBorder="1" applyAlignment="1" applyProtection="1">
      <alignment horizontal="center"/>
      <protection hidden="1"/>
    </xf>
    <xf numFmtId="0" fontId="8" fillId="0" borderId="1" xfId="0" applyNumberFormat="1" applyFont="1" applyFill="1" applyBorder="1" applyAlignment="1" applyProtection="1">
      <alignment horizontal="center" vertical="center"/>
      <protection hidden="1"/>
    </xf>
    <xf numFmtId="49" fontId="23" fillId="5" borderId="2" xfId="0" applyNumberFormat="1" applyFont="1" applyFill="1" applyBorder="1" applyAlignment="1" applyProtection="1">
      <alignment horizontal="center" vertical="center"/>
    </xf>
    <xf numFmtId="49" fontId="23" fillId="5" borderId="3" xfId="0" applyNumberFormat="1" applyFont="1" applyFill="1" applyBorder="1" applyAlignment="1" applyProtection="1">
      <alignment horizontal="center" vertical="center"/>
    </xf>
    <xf numFmtId="49" fontId="23" fillId="5" borderId="4" xfId="0" applyNumberFormat="1" applyFont="1" applyFill="1" applyBorder="1" applyAlignment="1" applyProtection="1">
      <alignment horizontal="center" vertical="center"/>
    </xf>
    <xf numFmtId="0" fontId="2" fillId="0" borderId="1" xfId="0" applyFont="1" applyBorder="1" applyAlignment="1" applyProtection="1">
      <alignment horizontal="center" vertical="center"/>
      <protection hidden="1"/>
    </xf>
    <xf numFmtId="175" fontId="8" fillId="4" borderId="2" xfId="0" applyNumberFormat="1" applyFont="1" applyFill="1" applyBorder="1" applyAlignment="1" applyProtection="1">
      <alignment horizontal="center"/>
      <protection hidden="1"/>
    </xf>
    <xf numFmtId="175" fontId="8" fillId="4" borderId="4" xfId="0" applyNumberFormat="1" applyFont="1" applyFill="1" applyBorder="1" applyAlignment="1" applyProtection="1">
      <alignment horizontal="center"/>
      <protection hidden="1"/>
    </xf>
    <xf numFmtId="175" fontId="8" fillId="5" borderId="2" xfId="0" applyNumberFormat="1" applyFont="1" applyFill="1" applyBorder="1" applyAlignment="1" applyProtection="1">
      <alignment horizontal="center"/>
    </xf>
    <xf numFmtId="175" fontId="8" fillId="5" borderId="4" xfId="0" applyNumberFormat="1" applyFont="1" applyFill="1" applyBorder="1" applyAlignment="1" applyProtection="1">
      <alignment horizontal="center"/>
    </xf>
    <xf numFmtId="175" fontId="8" fillId="0" borderId="2" xfId="0" applyNumberFormat="1" applyFont="1" applyFill="1" applyBorder="1" applyAlignment="1" applyProtection="1">
      <alignment horizontal="center" vertical="center"/>
      <protection hidden="1"/>
    </xf>
    <xf numFmtId="175" fontId="8" fillId="0" borderId="4" xfId="0" applyNumberFormat="1" applyFont="1" applyFill="1" applyBorder="1" applyAlignment="1" applyProtection="1">
      <alignment horizontal="center" vertical="center"/>
      <protection hidden="1"/>
    </xf>
    <xf numFmtId="0" fontId="8" fillId="4" borderId="2" xfId="0" applyNumberFormat="1" applyFont="1" applyFill="1" applyBorder="1" applyAlignment="1" applyProtection="1">
      <alignment horizontal="center"/>
      <protection hidden="1"/>
    </xf>
    <xf numFmtId="0" fontId="8" fillId="4" borderId="4" xfId="0" applyNumberFormat="1" applyFont="1" applyFill="1" applyBorder="1" applyAlignment="1" applyProtection="1">
      <alignment horizontal="center"/>
      <protection hidden="1"/>
    </xf>
    <xf numFmtId="2" fontId="23" fillId="4" borderId="1" xfId="0" applyNumberFormat="1" applyFont="1" applyFill="1" applyBorder="1" applyAlignment="1" applyProtection="1">
      <alignment horizontal="center" vertical="center"/>
      <protection hidden="1"/>
    </xf>
    <xf numFmtId="0" fontId="23" fillId="4" borderId="1" xfId="0" applyNumberFormat="1" applyFont="1" applyFill="1" applyBorder="1" applyAlignment="1" applyProtection="1">
      <alignment horizontal="center" vertic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2" fillId="0" borderId="1" xfId="0" applyFont="1" applyBorder="1" applyAlignment="1" applyProtection="1">
      <alignment horizontal="center"/>
      <protection hidden="1"/>
    </xf>
    <xf numFmtId="49" fontId="8" fillId="5" borderId="2" xfId="0" applyNumberFormat="1" applyFont="1" applyFill="1" applyBorder="1" applyAlignment="1" applyProtection="1">
      <alignment horizontal="center"/>
    </xf>
    <xf numFmtId="49" fontId="8" fillId="5" borderId="4"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center"/>
      <protection hidden="1"/>
    </xf>
    <xf numFmtId="0" fontId="8" fillId="0" borderId="4" xfId="0" applyNumberFormat="1" applyFont="1" applyFill="1" applyBorder="1" applyAlignment="1" applyProtection="1">
      <alignment horizontal="center" vertical="center"/>
      <protection hidden="1"/>
    </xf>
    <xf numFmtId="0" fontId="23" fillId="4" borderId="2" xfId="0" applyNumberFormat="1" applyFont="1" applyFill="1" applyBorder="1" applyAlignment="1" applyProtection="1">
      <alignment horizontal="center" vertical="center"/>
      <protection hidden="1"/>
    </xf>
    <xf numFmtId="0" fontId="23" fillId="4" borderId="4" xfId="0" applyNumberFormat="1" applyFont="1" applyFill="1" applyBorder="1" applyAlignment="1" applyProtection="1">
      <alignment horizontal="center" vertical="center"/>
      <protection hidden="1"/>
    </xf>
    <xf numFmtId="49" fontId="8" fillId="13" borderId="2" xfId="0" applyNumberFormat="1" applyFont="1" applyFill="1" applyBorder="1" applyAlignment="1" applyProtection="1">
      <alignment horizontal="center"/>
      <protection hidden="1"/>
    </xf>
    <xf numFmtId="49" fontId="8" fillId="13" borderId="3" xfId="0" applyNumberFormat="1" applyFont="1" applyFill="1" applyBorder="1" applyAlignment="1" applyProtection="1">
      <alignment horizontal="center"/>
      <protection hidden="1"/>
    </xf>
    <xf numFmtId="49" fontId="8" fillId="13" borderId="4" xfId="0" applyNumberFormat="1" applyFont="1" applyFill="1" applyBorder="1" applyAlignment="1" applyProtection="1">
      <alignment horizontal="center"/>
      <protection hidden="1"/>
    </xf>
    <xf numFmtId="49" fontId="8" fillId="5" borderId="1" xfId="0" applyNumberFormat="1" applyFont="1" applyFill="1" applyBorder="1" applyAlignment="1" applyProtection="1">
      <alignment horizontal="center"/>
    </xf>
    <xf numFmtId="49" fontId="8" fillId="0" borderId="1" xfId="0" applyNumberFormat="1" applyFont="1" applyFill="1" applyBorder="1" applyAlignment="1" applyProtection="1">
      <alignment horizontal="center" vertical="center"/>
      <protection hidden="1"/>
    </xf>
    <xf numFmtId="0" fontId="4" fillId="0" borderId="19" xfId="2" applyBorder="1" applyAlignment="1" applyProtection="1">
      <alignment horizontal="left"/>
      <protection hidden="1"/>
    </xf>
    <xf numFmtId="0" fontId="4" fillId="0" borderId="3" xfId="2" applyBorder="1" applyAlignment="1" applyProtection="1">
      <alignment horizontal="left"/>
      <protection hidden="1"/>
    </xf>
    <xf numFmtId="0" fontId="4" fillId="0" borderId="4" xfId="2" applyBorder="1" applyAlignment="1" applyProtection="1">
      <alignment horizontal="left"/>
      <protection hidden="1"/>
    </xf>
    <xf numFmtId="0" fontId="4" fillId="0" borderId="17" xfId="2" applyBorder="1" applyAlignment="1" applyProtection="1">
      <alignment horizontal="center" vertical="center" wrapText="1"/>
      <protection hidden="1"/>
    </xf>
    <xf numFmtId="0" fontId="4" fillId="0" borderId="1" xfId="2" applyBorder="1" applyAlignment="1" applyProtection="1">
      <alignment horizontal="center" vertical="center" wrapText="1"/>
      <protection hidden="1"/>
    </xf>
    <xf numFmtId="0" fontId="4" fillId="0" borderId="17" xfId="2" applyFill="1" applyBorder="1" applyAlignment="1" applyProtection="1">
      <alignment horizontal="left" vertical="center" wrapText="1"/>
      <protection hidden="1"/>
    </xf>
    <xf numFmtId="0" fontId="4" fillId="0" borderId="1" xfId="2" applyFill="1" applyBorder="1" applyAlignment="1" applyProtection="1">
      <alignment horizontal="left" vertical="center" wrapText="1"/>
      <protection hidden="1"/>
    </xf>
    <xf numFmtId="0" fontId="4" fillId="0" borderId="17" xfId="2" applyFont="1" applyBorder="1" applyAlignment="1" applyProtection="1">
      <alignment horizontal="left"/>
      <protection hidden="1"/>
    </xf>
    <xf numFmtId="0" fontId="4" fillId="0" borderId="1" xfId="2" applyFont="1" applyBorder="1" applyAlignment="1" applyProtection="1">
      <alignment horizontal="left"/>
      <protection hidden="1"/>
    </xf>
    <xf numFmtId="0" fontId="6" fillId="0" borderId="17" xfId="2" applyFont="1" applyBorder="1" applyAlignment="1" applyProtection="1">
      <alignment horizontal="left"/>
      <protection hidden="1"/>
    </xf>
    <xf numFmtId="0" fontId="6" fillId="0" borderId="1" xfId="2" applyFont="1" applyBorder="1" applyAlignment="1" applyProtection="1">
      <alignment horizontal="left"/>
      <protection hidden="1"/>
    </xf>
    <xf numFmtId="0" fontId="4" fillId="0" borderId="19" xfId="2" applyFill="1" applyBorder="1" applyAlignment="1" applyProtection="1">
      <alignment horizontal="left" vertical="center" wrapText="1"/>
      <protection hidden="1"/>
    </xf>
    <xf numFmtId="0" fontId="4" fillId="0" borderId="4" xfId="2" applyFill="1" applyBorder="1" applyAlignment="1" applyProtection="1">
      <alignment horizontal="left" vertical="center" wrapText="1"/>
      <protection hidden="1"/>
    </xf>
    <xf numFmtId="0" fontId="4" fillId="0" borderId="19" xfId="2" applyFont="1" applyBorder="1" applyAlignment="1" applyProtection="1">
      <alignment horizontal="left"/>
      <protection hidden="1"/>
    </xf>
    <xf numFmtId="0" fontId="4" fillId="0" borderId="3" xfId="2" applyFont="1" applyBorder="1" applyAlignment="1" applyProtection="1">
      <alignment horizontal="left"/>
      <protection hidden="1"/>
    </xf>
    <xf numFmtId="0" fontId="4" fillId="0" borderId="4" xfId="2" applyFont="1" applyBorder="1" applyAlignment="1" applyProtection="1">
      <alignment horizontal="left"/>
      <protection hidden="1"/>
    </xf>
    <xf numFmtId="0" fontId="6" fillId="0" borderId="20" xfId="2" applyFont="1" applyBorder="1" applyAlignment="1" applyProtection="1">
      <alignment horizontal="left"/>
      <protection hidden="1"/>
    </xf>
    <xf numFmtId="0" fontId="6" fillId="0" borderId="21" xfId="2" applyFont="1" applyBorder="1" applyAlignment="1" applyProtection="1">
      <alignment horizontal="left"/>
      <protection hidden="1"/>
    </xf>
    <xf numFmtId="49" fontId="8" fillId="0" borderId="1" xfId="0" applyNumberFormat="1" applyFont="1" applyFill="1" applyBorder="1" applyAlignment="1" applyProtection="1">
      <alignment horizontal="center"/>
      <protection hidden="1"/>
    </xf>
    <xf numFmtId="0" fontId="0" fillId="0" borderId="1" xfId="0" applyBorder="1" applyAlignment="1" applyProtection="1">
      <alignment horizontal="right"/>
      <protection hidden="1"/>
    </xf>
    <xf numFmtId="0" fontId="24" fillId="0" borderId="1" xfId="0" applyFont="1" applyFill="1" applyBorder="1" applyAlignment="1" applyProtection="1">
      <alignment horizontal="center"/>
      <protection hidden="1"/>
    </xf>
    <xf numFmtId="0" fontId="25" fillId="0" borderId="1" xfId="0" applyNumberFormat="1" applyFont="1" applyFill="1" applyBorder="1" applyAlignment="1" applyProtection="1">
      <alignment horizontal="center" vertical="center" wrapText="1" shrinkToFit="1"/>
      <protection hidden="1"/>
    </xf>
    <xf numFmtId="0" fontId="0" fillId="6" borderId="1" xfId="0" applyFill="1" applyBorder="1" applyAlignment="1" applyProtection="1">
      <alignment horizontal="center" vertical="center"/>
      <protection hidden="1"/>
    </xf>
    <xf numFmtId="0" fontId="4" fillId="0" borderId="20" xfId="2" applyFont="1" applyBorder="1" applyAlignment="1" applyProtection="1">
      <alignment horizontal="left"/>
      <protection hidden="1"/>
    </xf>
    <xf numFmtId="0" fontId="4" fillId="0" borderId="21" xfId="2" applyFont="1" applyBorder="1" applyAlignment="1" applyProtection="1">
      <alignment horizontal="left"/>
      <protection hidden="1"/>
    </xf>
    <xf numFmtId="0" fontId="4" fillId="0" borderId="19" xfId="2" applyBorder="1" applyAlignment="1" applyProtection="1">
      <alignment horizontal="center" vertical="center" wrapText="1"/>
      <protection hidden="1"/>
    </xf>
    <xf numFmtId="0" fontId="4" fillId="0" borderId="4" xfId="2" applyBorder="1" applyAlignment="1" applyProtection="1">
      <alignment horizontal="center" vertical="center" wrapText="1"/>
      <protection hidden="1"/>
    </xf>
    <xf numFmtId="0" fontId="0" fillId="12" borderId="1" xfId="0" applyFill="1" applyBorder="1" applyAlignment="1" applyProtection="1">
      <alignment horizontal="left" vertical="top" wrapText="1"/>
    </xf>
    <xf numFmtId="14" fontId="8" fillId="0" borderId="2" xfId="0" applyNumberFormat="1" applyFont="1" applyFill="1" applyBorder="1" applyAlignment="1" applyProtection="1">
      <alignment horizontal="center" vertical="center"/>
      <protection hidden="1"/>
    </xf>
    <xf numFmtId="14" fontId="8" fillId="0" borderId="4" xfId="0" applyNumberFormat="1" applyFont="1" applyFill="1" applyBorder="1" applyAlignment="1" applyProtection="1">
      <alignment horizontal="center" vertical="center"/>
      <protection hidden="1"/>
    </xf>
    <xf numFmtId="14" fontId="8" fillId="5" borderId="2" xfId="0" applyNumberFormat="1" applyFont="1" applyFill="1" applyBorder="1" applyAlignment="1" applyProtection="1">
      <alignment horizontal="center"/>
    </xf>
    <xf numFmtId="14" fontId="8" fillId="5" borderId="4" xfId="0" applyNumberFormat="1" applyFont="1" applyFill="1" applyBorder="1" applyAlignment="1" applyProtection="1">
      <alignment horizontal="center"/>
    </xf>
    <xf numFmtId="0" fontId="23" fillId="5" borderId="1" xfId="0" applyNumberFormat="1" applyFont="1" applyFill="1" applyBorder="1" applyAlignment="1" applyProtection="1">
      <alignment horizontal="center" vertical="center"/>
    </xf>
    <xf numFmtId="0" fontId="23" fillId="0" borderId="1" xfId="0" applyFont="1" applyFill="1" applyBorder="1" applyAlignment="1" applyProtection="1">
      <alignment horizontal="center"/>
      <protection hidden="1"/>
    </xf>
    <xf numFmtId="0" fontId="0" fillId="0" borderId="10"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4" xfId="0" applyBorder="1" applyAlignment="1" applyProtection="1">
      <alignment horizontal="center" vertical="center"/>
      <protection hidden="1"/>
    </xf>
    <xf numFmtId="0" fontId="0" fillId="0" borderId="10" xfId="0" applyBorder="1" applyAlignment="1" applyProtection="1">
      <alignment horizontal="center"/>
      <protection hidden="1"/>
    </xf>
    <xf numFmtId="0" fontId="0" fillId="0" borderId="9"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8" xfId="0" applyBorder="1" applyAlignment="1" applyProtection="1">
      <alignment horizontal="center"/>
      <protection hidden="1"/>
    </xf>
    <xf numFmtId="49" fontId="23" fillId="4" borderId="2" xfId="0" applyNumberFormat="1" applyFont="1" applyFill="1" applyBorder="1" applyAlignment="1" applyProtection="1">
      <alignment horizontal="center" vertical="center"/>
      <protection hidden="1"/>
    </xf>
    <xf numFmtId="49" fontId="23" fillId="4" borderId="4" xfId="0" applyNumberFormat="1" applyFont="1" applyFill="1" applyBorder="1" applyAlignment="1" applyProtection="1">
      <alignment horizontal="center" vertical="center"/>
      <protection hidden="1"/>
    </xf>
    <xf numFmtId="49" fontId="8" fillId="5" borderId="12" xfId="0" applyNumberFormat="1" applyFont="1" applyFill="1" applyBorder="1" applyAlignment="1" applyProtection="1">
      <alignment horizontal="center"/>
    </xf>
    <xf numFmtId="49" fontId="8" fillId="5" borderId="8" xfId="0" applyNumberFormat="1" applyFont="1" applyFill="1" applyBorder="1" applyAlignment="1" applyProtection="1">
      <alignment horizontal="center"/>
    </xf>
    <xf numFmtId="49" fontId="23" fillId="4" borderId="3" xfId="0" applyNumberFormat="1" applyFont="1" applyFill="1" applyBorder="1" applyAlignment="1" applyProtection="1">
      <alignment horizontal="center" vertical="center"/>
      <protection hidden="1"/>
    </xf>
    <xf numFmtId="0" fontId="29" fillId="0" borderId="0" xfId="0" applyFont="1" applyBorder="1" applyAlignment="1" applyProtection="1">
      <alignment horizontal="center"/>
      <protection hidden="1"/>
    </xf>
    <xf numFmtId="0" fontId="2" fillId="0" borderId="1" xfId="0" applyFont="1" applyFill="1" applyBorder="1" applyAlignment="1" applyProtection="1">
      <alignment horizontal="center"/>
      <protection hidden="1"/>
    </xf>
    <xf numFmtId="0" fontId="20" fillId="0" borderId="1" xfId="0" applyFont="1" applyFill="1" applyBorder="1" applyAlignment="1" applyProtection="1">
      <alignment horizontal="left"/>
      <protection hidden="1"/>
    </xf>
    <xf numFmtId="0" fontId="8" fillId="0" borderId="2" xfId="0" applyNumberFormat="1" applyFont="1" applyFill="1" applyBorder="1" applyAlignment="1" applyProtection="1">
      <alignment horizontal="center"/>
      <protection hidden="1"/>
    </xf>
    <xf numFmtId="0" fontId="8" fillId="0" borderId="3" xfId="0" applyNumberFormat="1" applyFont="1" applyFill="1" applyBorder="1" applyAlignment="1" applyProtection="1">
      <alignment horizontal="center"/>
      <protection hidden="1"/>
    </xf>
    <xf numFmtId="0" fontId="8" fillId="0" borderId="4" xfId="0" applyNumberFormat="1" applyFont="1" applyFill="1" applyBorder="1" applyAlignment="1" applyProtection="1">
      <alignment horizontal="center"/>
      <protection hidden="1"/>
    </xf>
    <xf numFmtId="49" fontId="8" fillId="12" borderId="1" xfId="0" applyNumberFormat="1" applyFont="1" applyFill="1" applyBorder="1" applyAlignment="1" applyProtection="1">
      <alignment horizontal="center"/>
    </xf>
    <xf numFmtId="49" fontId="8" fillId="12" borderId="2" xfId="0" applyNumberFormat="1" applyFont="1" applyFill="1" applyBorder="1" applyAlignment="1" applyProtection="1">
      <alignment horizontal="center"/>
    </xf>
    <xf numFmtId="0" fontId="23" fillId="0" borderId="1" xfId="0" applyNumberFormat="1" applyFont="1" applyFill="1" applyBorder="1" applyAlignment="1" applyProtection="1">
      <alignment horizontal="center"/>
      <protection hidden="1"/>
    </xf>
    <xf numFmtId="0" fontId="20" fillId="12" borderId="1" xfId="0" applyFont="1" applyFill="1" applyBorder="1" applyAlignment="1" applyProtection="1">
      <alignment horizontal="center" vertical="center"/>
    </xf>
    <xf numFmtId="0" fontId="20" fillId="12" borderId="1" xfId="0" applyFont="1" applyFill="1" applyBorder="1" applyAlignment="1" applyProtection="1">
      <alignment horizontal="justify" vertical="top" wrapText="1"/>
    </xf>
    <xf numFmtId="0" fontId="0" fillId="0" borderId="1" xfId="0" applyBorder="1" applyAlignment="1" applyProtection="1">
      <alignment horizontal="center" vertical="center" wrapText="1"/>
      <protection hidden="1"/>
    </xf>
    <xf numFmtId="0" fontId="23" fillId="0" borderId="5" xfId="0" applyFont="1" applyFill="1" applyBorder="1" applyAlignment="1" applyProtection="1">
      <alignment horizontal="center" vertical="center"/>
      <protection hidden="1"/>
    </xf>
    <xf numFmtId="0" fontId="23" fillId="0" borderId="6" xfId="0" applyFont="1" applyFill="1" applyBorder="1" applyAlignment="1" applyProtection="1">
      <alignment horizontal="center" vertical="center"/>
      <protection hidden="1"/>
    </xf>
    <xf numFmtId="0" fontId="23" fillId="0" borderId="7" xfId="0" applyFont="1" applyFill="1" applyBorder="1" applyAlignment="1" applyProtection="1">
      <alignment horizontal="center" vertical="center"/>
      <protection hidden="1"/>
    </xf>
    <xf numFmtId="0" fontId="0" fillId="0" borderId="45" xfId="0" applyBorder="1" applyAlignment="1" applyProtection="1">
      <alignment horizontal="center"/>
      <protection hidden="1"/>
    </xf>
    <xf numFmtId="0" fontId="25" fillId="0" borderId="58" xfId="0" applyFont="1" applyBorder="1" applyAlignment="1" applyProtection="1">
      <alignment horizontal="left" vertical="top" wrapText="1"/>
      <protection hidden="1"/>
    </xf>
    <xf numFmtId="0" fontId="25" fillId="0" borderId="36" xfId="0" applyFont="1" applyBorder="1" applyAlignment="1" applyProtection="1">
      <alignment horizontal="left" vertical="top" wrapText="1"/>
      <protection hidden="1"/>
    </xf>
    <xf numFmtId="0" fontId="25" fillId="0" borderId="37" xfId="0" applyFont="1" applyBorder="1" applyAlignment="1" applyProtection="1">
      <alignment horizontal="left" vertical="top" wrapText="1"/>
      <protection hidden="1"/>
    </xf>
    <xf numFmtId="0" fontId="25" fillId="0" borderId="12" xfId="0" applyFont="1" applyBorder="1" applyAlignment="1" applyProtection="1">
      <alignment horizontal="left" vertical="top" wrapText="1"/>
      <protection hidden="1"/>
    </xf>
    <xf numFmtId="0" fontId="25" fillId="0" borderId="13" xfId="0" applyFont="1" applyBorder="1" applyAlignment="1" applyProtection="1">
      <alignment horizontal="left" vertical="top" wrapText="1"/>
      <protection hidden="1"/>
    </xf>
    <xf numFmtId="0" fontId="25" fillId="0" borderId="60" xfId="0" applyFont="1" applyBorder="1" applyAlignment="1" applyProtection="1">
      <alignment horizontal="left" vertical="top" wrapText="1"/>
      <protection hidden="1"/>
    </xf>
    <xf numFmtId="0" fontId="25" fillId="0" borderId="10" xfId="0" applyFont="1" applyBorder="1" applyAlignment="1" applyProtection="1">
      <alignment horizontal="left" vertical="top" wrapText="1"/>
      <protection hidden="1"/>
    </xf>
    <xf numFmtId="0" fontId="25" fillId="0" borderId="11" xfId="0" applyFont="1" applyBorder="1" applyAlignment="1" applyProtection="1">
      <alignment horizontal="left" vertical="top" wrapText="1"/>
      <protection hidden="1"/>
    </xf>
    <xf numFmtId="0" fontId="25" fillId="0" borderId="61" xfId="0" applyFont="1" applyBorder="1" applyAlignment="1" applyProtection="1">
      <alignment horizontal="left" vertical="top" wrapText="1"/>
      <protection hidden="1"/>
    </xf>
    <xf numFmtId="0" fontId="25" fillId="0" borderId="59" xfId="0" applyFont="1" applyBorder="1" applyAlignment="1" applyProtection="1">
      <alignment horizontal="left" vertical="top" wrapText="1"/>
      <protection hidden="1"/>
    </xf>
    <xf numFmtId="0" fontId="25" fillId="0" borderId="43" xfId="0" applyFont="1" applyBorder="1" applyAlignment="1" applyProtection="1">
      <alignment horizontal="left" vertical="top" wrapText="1"/>
      <protection hidden="1"/>
    </xf>
    <xf numFmtId="0" fontId="25" fillId="0" borderId="44" xfId="0" applyFont="1" applyBorder="1" applyAlignment="1" applyProtection="1">
      <alignment horizontal="left" vertical="top" wrapText="1"/>
      <protection hidden="1"/>
    </xf>
    <xf numFmtId="14" fontId="8" fillId="4" borderId="2" xfId="0" applyNumberFormat="1" applyFont="1" applyFill="1" applyBorder="1" applyAlignment="1" applyProtection="1">
      <alignment horizontal="center"/>
      <protection hidden="1"/>
    </xf>
    <xf numFmtId="14" fontId="8" fillId="4" borderId="4" xfId="0" applyNumberFormat="1" applyFont="1" applyFill="1" applyBorder="1" applyAlignment="1" applyProtection="1">
      <alignment horizontal="center"/>
      <protection hidden="1"/>
    </xf>
    <xf numFmtId="0" fontId="0" fillId="0" borderId="1" xfId="0" applyFont="1" applyBorder="1" applyAlignment="1" applyProtection="1">
      <alignment horizontal="left"/>
      <protection hidden="1"/>
    </xf>
    <xf numFmtId="0" fontId="0" fillId="0" borderId="1" xfId="0" applyBorder="1" applyAlignment="1" applyProtection="1">
      <alignment horizontal="center" wrapText="1"/>
      <protection hidden="1"/>
    </xf>
    <xf numFmtId="0" fontId="2" fillId="0" borderId="48" xfId="0" applyFont="1" applyBorder="1" applyAlignment="1" applyProtection="1">
      <alignment horizontal="center"/>
      <protection hidden="1"/>
    </xf>
    <xf numFmtId="0" fontId="2" fillId="0" borderId="49" xfId="0" applyFont="1" applyBorder="1" applyAlignment="1" applyProtection="1">
      <alignment horizontal="center"/>
      <protection hidden="1"/>
    </xf>
    <xf numFmtId="0" fontId="2" fillId="0" borderId="52" xfId="0" applyFont="1" applyBorder="1" applyAlignment="1" applyProtection="1">
      <alignment horizont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7" xfId="0" applyFont="1" applyBorder="1" applyAlignment="1" applyProtection="1">
      <alignment horizontal="center" vertical="center"/>
      <protection hidden="1"/>
    </xf>
    <xf numFmtId="0" fontId="20" fillId="0" borderId="19"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xf numFmtId="0" fontId="6" fillId="0" borderId="70" xfId="2" applyFont="1" applyBorder="1" applyAlignment="1" applyProtection="1">
      <alignment horizontal="center"/>
      <protection hidden="1"/>
    </xf>
    <xf numFmtId="0" fontId="6" fillId="0" borderId="74" xfId="2" applyFont="1" applyBorder="1" applyAlignment="1" applyProtection="1">
      <alignment horizontal="center"/>
      <protection hidden="1"/>
    </xf>
    <xf numFmtId="0" fontId="6" fillId="0" borderId="71" xfId="2" applyFont="1" applyBorder="1" applyAlignment="1" applyProtection="1">
      <alignment horizontal="center"/>
      <protection hidden="1"/>
    </xf>
    <xf numFmtId="0" fontId="20" fillId="0" borderId="64"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 fillId="0" borderId="10"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61"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60" xfId="0" applyFont="1" applyBorder="1" applyAlignment="1" applyProtection="1">
      <alignment horizontal="center" vertical="center" wrapText="1"/>
      <protection hidden="1"/>
    </xf>
    <xf numFmtId="0" fontId="20" fillId="0" borderId="64" xfId="0" applyFont="1" applyBorder="1" applyAlignment="1" applyProtection="1">
      <alignment horizontal="center" vertical="center" wrapText="1"/>
      <protection hidden="1"/>
    </xf>
    <xf numFmtId="0" fontId="20" fillId="0" borderId="9"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xf numFmtId="0" fontId="20" fillId="0" borderId="8" xfId="0" applyFont="1" applyBorder="1" applyAlignment="1" applyProtection="1">
      <alignment horizontal="center" vertical="center" wrapText="1"/>
      <protection hidden="1"/>
    </xf>
    <xf numFmtId="0" fontId="6" fillId="0" borderId="50" xfId="2" applyFont="1" applyBorder="1" applyAlignment="1" applyProtection="1">
      <alignment horizontal="center"/>
      <protection hidden="1"/>
    </xf>
    <xf numFmtId="0" fontId="6" fillId="0" borderId="15" xfId="2" applyFont="1" applyBorder="1" applyAlignment="1" applyProtection="1">
      <alignment horizontal="center"/>
      <protection hidden="1"/>
    </xf>
    <xf numFmtId="0" fontId="6" fillId="0" borderId="16" xfId="2" applyFont="1" applyBorder="1" applyAlignment="1" applyProtection="1">
      <alignment horizontal="center"/>
      <protection hidden="1"/>
    </xf>
    <xf numFmtId="0" fontId="20" fillId="0" borderId="32" xfId="0" applyFont="1" applyBorder="1" applyAlignment="1" applyProtection="1">
      <alignment horizontal="center" vertical="center"/>
      <protection hidden="1"/>
    </xf>
    <xf numFmtId="0" fontId="20" fillId="0" borderId="5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55" xfId="0" applyFont="1" applyBorder="1" applyAlignment="1" applyProtection="1">
      <alignment horizontal="center" vertical="center"/>
      <protection hidden="1"/>
    </xf>
    <xf numFmtId="0" fontId="0" fillId="0" borderId="17" xfId="0" applyBorder="1" applyAlignment="1" applyProtection="1">
      <alignment horizontal="left"/>
      <protection hidden="1"/>
    </xf>
    <xf numFmtId="0" fontId="0" fillId="0" borderId="20" xfId="0" applyBorder="1" applyAlignment="1" applyProtection="1">
      <alignment horizontal="left"/>
      <protection hidden="1"/>
    </xf>
    <xf numFmtId="0" fontId="0" fillId="0" borderId="21" xfId="0" applyBorder="1" applyAlignment="1" applyProtection="1">
      <alignment horizontal="left"/>
      <protection hidden="1"/>
    </xf>
    <xf numFmtId="0" fontId="23" fillId="0" borderId="18" xfId="0" applyFont="1" applyBorder="1" applyAlignment="1" applyProtection="1">
      <alignment horizontal="center"/>
      <protection hidden="1"/>
    </xf>
    <xf numFmtId="14" fontId="19" fillId="0" borderId="20" xfId="0" quotePrefix="1" applyNumberFormat="1" applyFont="1" applyBorder="1" applyAlignment="1" applyProtection="1">
      <alignment horizontal="center"/>
      <protection hidden="1"/>
    </xf>
    <xf numFmtId="14" fontId="19" fillId="0" borderId="22" xfId="0" applyNumberFormat="1" applyFont="1" applyBorder="1" applyAlignment="1" applyProtection="1">
      <alignment horizontal="center"/>
      <protection hidden="1"/>
    </xf>
    <xf numFmtId="0" fontId="2" fillId="0" borderId="14"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19" fillId="0" borderId="17" xfId="0" applyNumberFormat="1" applyFont="1" applyBorder="1" applyAlignment="1" applyProtection="1">
      <alignment horizontal="center"/>
      <protection hidden="1"/>
    </xf>
    <xf numFmtId="0" fontId="19" fillId="0" borderId="18" xfId="0" applyNumberFormat="1" applyFont="1" applyBorder="1" applyAlignment="1" applyProtection="1">
      <alignment horizontal="center"/>
      <protection hidden="1"/>
    </xf>
    <xf numFmtId="0" fontId="2" fillId="0" borderId="17" xfId="0" applyFont="1" applyBorder="1" applyAlignment="1" applyProtection="1">
      <alignment horizontal="center"/>
      <protection hidden="1"/>
    </xf>
    <xf numFmtId="0" fontId="2" fillId="0" borderId="18" xfId="0" applyFont="1" applyBorder="1" applyAlignment="1" applyProtection="1">
      <alignment horizontal="center"/>
      <protection hidden="1"/>
    </xf>
    <xf numFmtId="14" fontId="19" fillId="0" borderId="20" xfId="0" applyNumberFormat="1" applyFont="1" applyBorder="1" applyAlignment="1" applyProtection="1">
      <alignment horizontal="center"/>
      <protection hidden="1"/>
    </xf>
    <xf numFmtId="49" fontId="19" fillId="0" borderId="20" xfId="0" applyNumberFormat="1" applyFont="1" applyBorder="1" applyAlignment="1" applyProtection="1">
      <alignment horizontal="center"/>
      <protection hidden="1"/>
    </xf>
    <xf numFmtId="0" fontId="19" fillId="0" borderId="22" xfId="0" applyNumberFormat="1" applyFont="1" applyBorder="1" applyAlignment="1" applyProtection="1">
      <alignment horizontal="center"/>
      <protection hidden="1"/>
    </xf>
    <xf numFmtId="0" fontId="19" fillId="0" borderId="20" xfId="0" applyNumberFormat="1" applyFont="1" applyBorder="1" applyAlignment="1" applyProtection="1">
      <alignment horizontal="center"/>
      <protection hidden="1"/>
    </xf>
    <xf numFmtId="0" fontId="14" fillId="0" borderId="1"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14" fontId="14" fillId="0" borderId="1" xfId="0" applyNumberFormat="1" applyFont="1" applyBorder="1" applyAlignment="1" applyProtection="1">
      <alignment horizontal="center" vertical="center" wrapText="1"/>
      <protection hidden="1"/>
    </xf>
    <xf numFmtId="0" fontId="0" fillId="0" borderId="14" xfId="0" applyBorder="1" applyAlignment="1" applyProtection="1">
      <alignment horizontal="left"/>
      <protection hidden="1"/>
    </xf>
    <xf numFmtId="0" fontId="0" fillId="0" borderId="15" xfId="0" applyBorder="1" applyAlignment="1" applyProtection="1">
      <alignment horizontal="left"/>
      <protection hidden="1"/>
    </xf>
    <xf numFmtId="0" fontId="13" fillId="0" borderId="1"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40"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15" xfId="0" applyFont="1" applyBorder="1" applyAlignment="1" applyProtection="1">
      <alignment horizontal="center"/>
      <protection hidden="1"/>
    </xf>
    <xf numFmtId="49" fontId="19" fillId="0" borderId="17" xfId="0" applyNumberFormat="1" applyFont="1" applyBorder="1" applyAlignment="1" applyProtection="1">
      <alignment horizontal="center"/>
      <protection hidden="1"/>
    </xf>
    <xf numFmtId="9" fontId="0" fillId="0" borderId="27" xfId="0" applyNumberFormat="1" applyBorder="1" applyAlignment="1" applyProtection="1">
      <alignment horizontal="center"/>
      <protection hidden="1"/>
    </xf>
    <xf numFmtId="0" fontId="0" fillId="0" borderId="28" xfId="0" applyBorder="1" applyAlignment="1" applyProtection="1">
      <alignment horizontal="center"/>
      <protection hidden="1"/>
    </xf>
    <xf numFmtId="0" fontId="0" fillId="0" borderId="33" xfId="0" applyBorder="1" applyAlignment="1" applyProtection="1">
      <alignment horizontal="center"/>
      <protection hidden="1"/>
    </xf>
    <xf numFmtId="0" fontId="12" fillId="0" borderId="1" xfId="0" applyFont="1" applyBorder="1" applyAlignment="1" applyProtection="1">
      <alignment horizontal="center" vertical="center" wrapText="1"/>
      <protection hidden="1"/>
    </xf>
    <xf numFmtId="0" fontId="2" fillId="0" borderId="30" xfId="0" applyFont="1" applyBorder="1" applyAlignment="1" applyProtection="1">
      <alignment horizontal="center"/>
      <protection hidden="1"/>
    </xf>
    <xf numFmtId="0" fontId="2" fillId="0" borderId="26" xfId="0" applyFont="1" applyBorder="1" applyAlignment="1" applyProtection="1">
      <alignment horizontal="center"/>
      <protection hidden="1"/>
    </xf>
    <xf numFmtId="0" fontId="2" fillId="0" borderId="34" xfId="0" applyFont="1" applyBorder="1" applyAlignment="1" applyProtection="1">
      <alignment horizontal="center"/>
      <protection hidden="1"/>
    </xf>
    <xf numFmtId="14" fontId="2" fillId="0" borderId="10" xfId="0" applyNumberFormat="1" applyFont="1" applyBorder="1" applyAlignment="1" applyProtection="1">
      <alignment horizontal="center" vertical="center" wrapText="1"/>
      <protection hidden="1"/>
    </xf>
    <xf numFmtId="14" fontId="2" fillId="0" borderId="61" xfId="0" applyNumberFormat="1" applyFont="1" applyBorder="1" applyAlignment="1" applyProtection="1">
      <alignment horizontal="center" vertical="center" wrapText="1"/>
      <protection hidden="1"/>
    </xf>
    <xf numFmtId="175" fontId="2" fillId="0" borderId="12" xfId="0" applyNumberFormat="1" applyFont="1" applyBorder="1" applyAlignment="1" applyProtection="1">
      <alignment horizontal="center" vertical="center" wrapText="1"/>
      <protection hidden="1"/>
    </xf>
    <xf numFmtId="175" fontId="2" fillId="0" borderId="60" xfId="0" applyNumberFormat="1" applyFont="1" applyBorder="1" applyAlignment="1" applyProtection="1">
      <alignment horizontal="center" vertical="center" wrapText="1"/>
      <protection hidden="1"/>
    </xf>
    <xf numFmtId="175" fontId="2" fillId="0" borderId="59" xfId="0" applyNumberFormat="1" applyFont="1" applyBorder="1" applyAlignment="1" applyProtection="1">
      <alignment horizontal="center" vertical="center" wrapText="1"/>
      <protection hidden="1"/>
    </xf>
    <xf numFmtId="175" fontId="2" fillId="0" borderId="44" xfId="0" applyNumberFormat="1" applyFont="1" applyBorder="1" applyAlignment="1" applyProtection="1">
      <alignment horizontal="center" vertical="center" wrapText="1"/>
      <protection hidden="1"/>
    </xf>
    <xf numFmtId="0" fontId="0" fillId="6" borderId="15" xfId="0" applyFill="1" applyBorder="1" applyAlignment="1" applyProtection="1">
      <alignment horizontal="center" vertical="center"/>
      <protection hidden="1"/>
    </xf>
    <xf numFmtId="2" fontId="23" fillId="0" borderId="25" xfId="0" applyNumberFormat="1" applyFont="1" applyFill="1" applyBorder="1" applyAlignment="1" applyProtection="1">
      <alignment horizontal="center"/>
      <protection hidden="1"/>
    </xf>
    <xf numFmtId="2" fontId="23" fillId="0" borderId="54" xfId="0" applyNumberFormat="1" applyFont="1" applyFill="1" applyBorder="1" applyAlignment="1" applyProtection="1">
      <alignment horizontal="center"/>
      <protection hidden="1"/>
    </xf>
    <xf numFmtId="2" fontId="23" fillId="0" borderId="2" xfId="0" applyNumberFormat="1" applyFont="1" applyFill="1" applyBorder="1" applyAlignment="1" applyProtection="1">
      <alignment horizontal="center"/>
      <protection hidden="1"/>
    </xf>
    <xf numFmtId="2" fontId="23" fillId="0" borderId="4" xfId="0" applyNumberFormat="1" applyFont="1" applyFill="1" applyBorder="1" applyAlignment="1" applyProtection="1">
      <alignment horizontal="center"/>
      <protection hidden="1"/>
    </xf>
    <xf numFmtId="2" fontId="23" fillId="0" borderId="1" xfId="0" applyNumberFormat="1" applyFont="1" applyFill="1" applyBorder="1" applyAlignment="1" applyProtection="1">
      <alignment horizontal="center"/>
      <protection hidden="1"/>
    </xf>
    <xf numFmtId="0" fontId="0" fillId="0" borderId="19" xfId="0" applyBorder="1" applyAlignment="1" applyProtection="1">
      <alignment horizontal="center"/>
      <protection hidden="1"/>
    </xf>
    <xf numFmtId="0" fontId="0" fillId="0" borderId="4" xfId="0" applyBorder="1" applyAlignment="1" applyProtection="1">
      <alignment horizontal="center"/>
      <protection hidden="1"/>
    </xf>
    <xf numFmtId="2" fontId="23" fillId="0" borderId="21" xfId="0" applyNumberFormat="1" applyFont="1" applyFill="1" applyBorder="1" applyAlignment="1" applyProtection="1">
      <alignment horizontal="center"/>
      <protection hidden="1"/>
    </xf>
    <xf numFmtId="0" fontId="0" fillId="0" borderId="2" xfId="0" applyFill="1" applyBorder="1" applyAlignment="1" applyProtection="1">
      <alignment horizontal="center"/>
      <protection hidden="1"/>
    </xf>
    <xf numFmtId="0" fontId="0" fillId="0" borderId="4" xfId="0" applyFill="1" applyBorder="1" applyAlignment="1" applyProtection="1">
      <alignment horizontal="center"/>
      <protection hidden="1"/>
    </xf>
    <xf numFmtId="165" fontId="23" fillId="0" borderId="2" xfId="1" applyNumberFormat="1" applyFont="1" applyFill="1" applyBorder="1" applyAlignment="1" applyProtection="1">
      <alignment horizontal="center"/>
      <protection hidden="1"/>
    </xf>
    <xf numFmtId="165" fontId="23" fillId="0" borderId="4" xfId="1" applyNumberFormat="1" applyFont="1" applyFill="1" applyBorder="1" applyAlignment="1" applyProtection="1">
      <alignment horizontal="center"/>
      <protection hidden="1"/>
    </xf>
    <xf numFmtId="0" fontId="23" fillId="0" borderId="2" xfId="0" applyFont="1" applyFill="1" applyBorder="1" applyAlignment="1" applyProtection="1">
      <alignment horizontal="center"/>
      <protection hidden="1"/>
    </xf>
    <xf numFmtId="0" fontId="23" fillId="0" borderId="4" xfId="0" applyFont="1" applyFill="1" applyBorder="1" applyAlignment="1" applyProtection="1">
      <alignment horizontal="center"/>
      <protection hidden="1"/>
    </xf>
    <xf numFmtId="0" fontId="20" fillId="0" borderId="1" xfId="0" applyFont="1" applyFill="1" applyBorder="1" applyAlignment="1" applyProtection="1">
      <alignment horizontal="center" vertical="center"/>
      <protection hidden="1"/>
    </xf>
    <xf numFmtId="0" fontId="25" fillId="0" borderId="1" xfId="0" applyFont="1" applyFill="1" applyBorder="1" applyAlignment="1" applyProtection="1">
      <alignment horizontal="center" vertical="center" wrapText="1"/>
      <protection hidden="1"/>
    </xf>
    <xf numFmtId="0" fontId="0" fillId="0" borderId="32" xfId="0" applyBorder="1" applyAlignment="1" applyProtection="1">
      <alignment horizontal="center"/>
      <protection hidden="1"/>
    </xf>
    <xf numFmtId="0" fontId="0" fillId="0" borderId="54" xfId="0" applyBorder="1" applyAlignment="1" applyProtection="1">
      <alignment horizontal="center"/>
      <protection hidden="1"/>
    </xf>
    <xf numFmtId="0" fontId="0" fillId="0" borderId="25" xfId="0" applyFill="1" applyBorder="1" applyAlignment="1" applyProtection="1">
      <alignment horizontal="center"/>
      <protection hidden="1"/>
    </xf>
    <xf numFmtId="0" fontId="0" fillId="0" borderId="54" xfId="0" applyFill="1" applyBorder="1" applyAlignment="1" applyProtection="1">
      <alignment horizontal="center"/>
      <protection hidden="1"/>
    </xf>
    <xf numFmtId="165" fontId="23" fillId="0" borderId="25" xfId="1" applyNumberFormat="1" applyFont="1" applyFill="1" applyBorder="1" applyAlignment="1" applyProtection="1">
      <alignment horizontal="center"/>
      <protection hidden="1"/>
    </xf>
    <xf numFmtId="165" fontId="23" fillId="0" borderId="54" xfId="1" applyNumberFormat="1" applyFont="1" applyFill="1" applyBorder="1" applyAlignment="1" applyProtection="1">
      <alignment horizontal="center"/>
      <protection hidden="1"/>
    </xf>
    <xf numFmtId="0" fontId="23" fillId="0" borderId="25" xfId="0" applyFont="1" applyFill="1" applyBorder="1" applyAlignment="1" applyProtection="1">
      <alignment horizontal="center"/>
      <protection hidden="1"/>
    </xf>
    <xf numFmtId="0" fontId="23" fillId="0" borderId="54" xfId="0" applyFont="1" applyFill="1" applyBorder="1" applyAlignment="1" applyProtection="1">
      <alignment horizontal="center"/>
      <protection hidden="1"/>
    </xf>
    <xf numFmtId="0" fontId="2" fillId="0" borderId="0" xfId="0" applyFont="1" applyAlignment="1" applyProtection="1">
      <alignment horizontal="left"/>
      <protection hidden="1"/>
    </xf>
    <xf numFmtId="0" fontId="2" fillId="0" borderId="4" xfId="0" applyFont="1" applyBorder="1" applyAlignment="1" applyProtection="1">
      <alignment horizontal="center"/>
      <protection hidden="1"/>
    </xf>
    <xf numFmtId="14" fontId="2" fillId="0" borderId="2" xfId="0" applyNumberFormat="1" applyFont="1" applyBorder="1" applyAlignment="1" applyProtection="1">
      <alignment horizontal="center"/>
      <protection hidden="1"/>
    </xf>
    <xf numFmtId="14" fontId="2" fillId="0" borderId="4" xfId="0" applyNumberFormat="1" applyFont="1" applyBorder="1" applyAlignment="1" applyProtection="1">
      <alignment horizontal="center"/>
      <protection hidden="1"/>
    </xf>
    <xf numFmtId="0" fontId="2" fillId="0" borderId="2" xfId="0" applyNumberFormat="1" applyFont="1" applyBorder="1" applyAlignment="1" applyProtection="1">
      <alignment horizontal="center"/>
      <protection hidden="1"/>
    </xf>
    <xf numFmtId="0" fontId="2" fillId="0" borderId="4" xfId="0" applyNumberFormat="1" applyFont="1" applyBorder="1" applyAlignment="1" applyProtection="1">
      <alignment horizontal="center"/>
      <protection hidden="1"/>
    </xf>
    <xf numFmtId="0" fontId="0" fillId="0" borderId="11" xfId="0"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21" fillId="6" borderId="2" xfId="0" applyFont="1" applyFill="1" applyBorder="1" applyAlignment="1" applyProtection="1">
      <alignment horizontal="left"/>
      <protection hidden="1"/>
    </xf>
    <xf numFmtId="0" fontId="21" fillId="6" borderId="4" xfId="0" applyFont="1" applyFill="1" applyBorder="1" applyAlignment="1" applyProtection="1">
      <alignment horizontal="left"/>
      <protection hidden="1"/>
    </xf>
    <xf numFmtId="0" fontId="23" fillId="0" borderId="2" xfId="0" applyFont="1" applyBorder="1" applyAlignment="1" applyProtection="1">
      <alignment horizontal="center" shrinkToFit="1"/>
      <protection hidden="1"/>
    </xf>
    <xf numFmtId="0" fontId="23" fillId="0" borderId="3" xfId="0" applyFont="1" applyBorder="1" applyAlignment="1" applyProtection="1">
      <alignment horizontal="center" shrinkToFit="1"/>
      <protection hidden="1"/>
    </xf>
    <xf numFmtId="0" fontId="8" fillId="0" borderId="21" xfId="0" applyNumberFormat="1" applyFont="1" applyBorder="1" applyAlignment="1" applyProtection="1">
      <alignment horizontal="center"/>
      <protection hidden="1"/>
    </xf>
    <xf numFmtId="0" fontId="8" fillId="0" borderId="22" xfId="0" applyNumberFormat="1" applyFont="1" applyBorder="1" applyAlignment="1" applyProtection="1">
      <alignment horizontal="center"/>
      <protection hidden="1"/>
    </xf>
    <xf numFmtId="0" fontId="21" fillId="0" borderId="1" xfId="0" applyFont="1" applyBorder="1" applyAlignment="1" applyProtection="1">
      <alignment horizontal="left"/>
      <protection hidden="1"/>
    </xf>
    <xf numFmtId="0" fontId="21" fillId="0" borderId="21" xfId="0" applyFont="1" applyBorder="1" applyAlignment="1" applyProtection="1">
      <alignment horizontal="left"/>
      <protection hidden="1"/>
    </xf>
    <xf numFmtId="0" fontId="23" fillId="0" borderId="4" xfId="0" applyFont="1" applyBorder="1" applyAlignment="1" applyProtection="1">
      <alignment horizontal="center" shrinkToFit="1"/>
      <protection hidden="1"/>
    </xf>
    <xf numFmtId="0" fontId="2" fillId="6" borderId="30" xfId="0" applyFont="1" applyFill="1" applyBorder="1" applyAlignment="1" applyProtection="1">
      <alignment horizontal="left"/>
      <protection hidden="1"/>
    </xf>
    <xf numFmtId="0" fontId="2" fillId="6" borderId="26" xfId="0" applyFont="1" applyFill="1" applyBorder="1" applyAlignment="1" applyProtection="1">
      <alignment horizontal="left"/>
      <protection hidden="1"/>
    </xf>
    <xf numFmtId="0" fontId="2" fillId="6" borderId="29" xfId="0" applyFont="1" applyFill="1" applyBorder="1" applyAlignment="1" applyProtection="1">
      <alignment horizontal="left"/>
      <protection hidden="1"/>
    </xf>
    <xf numFmtId="175" fontId="2" fillId="0" borderId="33" xfId="0" applyNumberFormat="1" applyFont="1" applyBorder="1" applyAlignment="1" applyProtection="1">
      <alignment horizontal="center"/>
      <protection hidden="1"/>
    </xf>
    <xf numFmtId="175" fontId="2" fillId="0" borderId="34" xfId="0" applyNumberFormat="1" applyFont="1" applyBorder="1" applyAlignment="1" applyProtection="1">
      <alignment horizontal="center"/>
      <protection hidden="1"/>
    </xf>
    <xf numFmtId="0" fontId="0" fillId="0" borderId="0" xfId="0" applyAlignment="1" applyProtection="1">
      <alignment horizontal="left"/>
      <protection hidden="1"/>
    </xf>
    <xf numFmtId="0" fontId="0"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23" fillId="0" borderId="51" xfId="0" applyFont="1" applyBorder="1" applyAlignment="1" applyProtection="1">
      <alignment horizontal="center" shrinkToFit="1"/>
      <protection hidden="1"/>
    </xf>
    <xf numFmtId="0" fontId="23" fillId="0" borderId="49" xfId="0" applyFont="1" applyBorder="1" applyAlignment="1" applyProtection="1">
      <alignment horizontal="center" shrinkToFit="1"/>
      <protection hidden="1"/>
    </xf>
    <xf numFmtId="0" fontId="23" fillId="0" borderId="52" xfId="0" applyFont="1" applyBorder="1" applyAlignment="1" applyProtection="1">
      <alignment horizontal="center" shrinkToFit="1"/>
      <protection hidden="1"/>
    </xf>
    <xf numFmtId="0" fontId="21" fillId="6" borderId="51" xfId="0" applyFont="1" applyFill="1" applyBorder="1" applyAlignment="1" applyProtection="1">
      <alignment horizontal="left"/>
      <protection hidden="1"/>
    </xf>
    <xf numFmtId="0" fontId="21" fillId="6" borderId="50" xfId="0" applyFont="1" applyFill="1" applyBorder="1" applyAlignment="1" applyProtection="1">
      <alignment horizontal="left"/>
      <protection hidden="1"/>
    </xf>
    <xf numFmtId="0" fontId="2" fillId="0" borderId="2" xfId="0" applyFont="1" applyBorder="1" applyAlignment="1" applyProtection="1">
      <alignment horizontal="left"/>
      <protection hidden="1"/>
    </xf>
    <xf numFmtId="0" fontId="2" fillId="0" borderId="3" xfId="0" applyFont="1" applyBorder="1" applyAlignment="1" applyProtection="1">
      <alignment horizontal="left"/>
      <protection hidden="1"/>
    </xf>
    <xf numFmtId="0" fontId="2" fillId="0" borderId="47" xfId="0" applyFont="1" applyBorder="1" applyAlignment="1" applyProtection="1">
      <alignment horizontal="left"/>
      <protection hidden="1"/>
    </xf>
    <xf numFmtId="0" fontId="2" fillId="0" borderId="25" xfId="0" applyFont="1" applyBorder="1" applyAlignment="1" applyProtection="1">
      <alignment horizontal="left"/>
      <protection hidden="1"/>
    </xf>
    <xf numFmtId="0" fontId="2" fillId="0" borderId="53" xfId="0" applyFont="1" applyBorder="1" applyAlignment="1" applyProtection="1">
      <alignment horizontal="left"/>
      <protection hidden="1"/>
    </xf>
    <xf numFmtId="0" fontId="2" fillId="0" borderId="54" xfId="0" applyFont="1" applyBorder="1" applyAlignment="1" applyProtection="1">
      <alignment horizontal="left"/>
      <protection hidden="1"/>
    </xf>
    <xf numFmtId="0" fontId="22" fillId="6" borderId="51" xfId="0" applyFont="1" applyFill="1" applyBorder="1" applyAlignment="1" applyProtection="1">
      <alignment horizontal="left"/>
      <protection hidden="1"/>
    </xf>
    <xf numFmtId="0" fontId="22" fillId="6" borderId="50" xfId="0" applyFont="1" applyFill="1" applyBorder="1" applyAlignment="1" applyProtection="1">
      <alignment horizontal="left"/>
      <protection hidden="1"/>
    </xf>
    <xf numFmtId="0" fontId="21" fillId="6" borderId="19" xfId="0" applyFont="1" applyFill="1" applyBorder="1" applyAlignment="1" applyProtection="1">
      <alignment horizontal="left"/>
      <protection hidden="1"/>
    </xf>
    <xf numFmtId="0" fontId="21" fillId="6" borderId="3" xfId="0" applyFont="1" applyFill="1" applyBorder="1" applyAlignment="1" applyProtection="1">
      <alignment horizontal="left"/>
      <protection hidden="1"/>
    </xf>
    <xf numFmtId="0" fontId="22" fillId="6" borderId="25" xfId="0" applyFont="1" applyFill="1" applyBorder="1" applyAlignment="1" applyProtection="1">
      <alignment horizontal="left"/>
      <protection hidden="1"/>
    </xf>
    <xf numFmtId="0" fontId="22" fillId="6" borderId="54" xfId="0" applyFont="1" applyFill="1" applyBorder="1" applyAlignment="1" applyProtection="1">
      <alignment horizontal="left"/>
      <protection hidden="1"/>
    </xf>
    <xf numFmtId="0" fontId="0" fillId="0" borderId="35" xfId="0" applyBorder="1" applyAlignment="1" applyProtection="1">
      <alignment horizontal="center" vertical="center" textRotation="90" wrapText="1"/>
      <protection hidden="1"/>
    </xf>
    <xf numFmtId="0" fontId="0" fillId="0" borderId="56" xfId="0" applyBorder="1" applyAlignment="1" applyProtection="1">
      <alignment horizontal="center" vertical="center" textRotation="90" wrapText="1"/>
      <protection hidden="1"/>
    </xf>
    <xf numFmtId="0" fontId="0" fillId="0" borderId="38" xfId="0" applyBorder="1" applyAlignment="1" applyProtection="1">
      <alignment horizontal="center" vertical="center" textRotation="90" wrapText="1"/>
      <protection hidden="1"/>
    </xf>
    <xf numFmtId="0" fontId="0" fillId="0" borderId="46" xfId="0" applyBorder="1" applyAlignment="1" applyProtection="1">
      <alignment horizontal="center" vertical="center" textRotation="90" wrapText="1"/>
      <protection hidden="1"/>
    </xf>
    <xf numFmtId="0" fontId="0" fillId="0" borderId="42" xfId="0" applyBorder="1" applyAlignment="1" applyProtection="1">
      <alignment horizontal="center" vertical="center" textRotation="90" wrapText="1"/>
      <protection hidden="1"/>
    </xf>
    <xf numFmtId="0" fontId="0" fillId="0" borderId="57" xfId="0" applyBorder="1" applyAlignment="1" applyProtection="1">
      <alignment horizontal="center" vertical="center" textRotation="90" wrapText="1"/>
      <protection hidden="1"/>
    </xf>
    <xf numFmtId="0" fontId="21" fillId="6" borderId="32" xfId="0" applyFont="1" applyFill="1" applyBorder="1" applyAlignment="1" applyProtection="1">
      <alignment horizontal="left"/>
      <protection hidden="1"/>
    </xf>
    <xf numFmtId="0" fontId="21" fillId="6" borderId="53" xfId="0" applyFont="1" applyFill="1" applyBorder="1" applyAlignment="1" applyProtection="1">
      <alignment horizontal="left"/>
      <protection hidden="1"/>
    </xf>
    <xf numFmtId="0" fontId="21" fillId="6" borderId="54" xfId="0" applyFont="1" applyFill="1" applyBorder="1" applyAlignment="1" applyProtection="1">
      <alignment horizontal="left"/>
      <protection hidden="1"/>
    </xf>
    <xf numFmtId="0" fontId="23" fillId="0" borderId="50" xfId="0" applyFont="1" applyBorder="1" applyAlignment="1" applyProtection="1">
      <alignment horizontal="center" shrinkToFit="1"/>
      <protection hidden="1"/>
    </xf>
    <xf numFmtId="0" fontId="21" fillId="6" borderId="48" xfId="0" applyFont="1" applyFill="1" applyBorder="1" applyAlignment="1" applyProtection="1">
      <alignment horizontal="left"/>
      <protection hidden="1"/>
    </xf>
    <xf numFmtId="0" fontId="21" fillId="6" borderId="49" xfId="0" applyFont="1" applyFill="1" applyBorder="1" applyAlignment="1" applyProtection="1">
      <alignment horizontal="left"/>
      <protection hidden="1"/>
    </xf>
    <xf numFmtId="0" fontId="2" fillId="0" borderId="51" xfId="0" applyFont="1" applyBorder="1" applyAlignment="1" applyProtection="1">
      <alignment horizontal="center"/>
      <protection hidden="1"/>
    </xf>
    <xf numFmtId="0" fontId="2" fillId="0" borderId="51" xfId="0" applyNumberFormat="1" applyFont="1" applyBorder="1" applyAlignment="1" applyProtection="1">
      <alignment horizontal="left"/>
      <protection hidden="1"/>
    </xf>
    <xf numFmtId="0" fontId="2" fillId="0" borderId="49" xfId="0" applyNumberFormat="1" applyFont="1" applyBorder="1" applyAlignment="1" applyProtection="1">
      <alignment horizontal="left"/>
      <protection hidden="1"/>
    </xf>
    <xf numFmtId="0" fontId="2" fillId="0" borderId="50" xfId="0" applyNumberFormat="1" applyFont="1" applyBorder="1" applyAlignment="1" applyProtection="1">
      <alignment horizontal="left"/>
      <protection hidden="1"/>
    </xf>
    <xf numFmtId="0" fontId="21" fillId="6" borderId="47" xfId="0" applyFont="1" applyFill="1" applyBorder="1" applyAlignment="1" applyProtection="1">
      <alignment horizontal="left"/>
      <protection hidden="1"/>
    </xf>
    <xf numFmtId="0" fontId="23" fillId="0" borderId="2" xfId="0" applyFont="1" applyBorder="1" applyAlignment="1" applyProtection="1">
      <alignment horizontal="center"/>
      <protection hidden="1"/>
    </xf>
    <xf numFmtId="0" fontId="23" fillId="0" borderId="4" xfId="0" applyFont="1" applyBorder="1" applyAlignment="1" applyProtection="1">
      <alignment horizontal="center"/>
      <protection hidden="1"/>
    </xf>
    <xf numFmtId="0" fontId="23" fillId="0" borderId="47" xfId="0" applyFont="1" applyBorder="1" applyAlignment="1" applyProtection="1">
      <alignment horizontal="center" shrinkToFit="1"/>
      <protection hidden="1"/>
    </xf>
    <xf numFmtId="0" fontId="21" fillId="6" borderId="25" xfId="0" applyFont="1" applyFill="1" applyBorder="1" applyAlignment="1" applyProtection="1">
      <alignment horizontal="left"/>
      <protection hidden="1"/>
    </xf>
    <xf numFmtId="0" fontId="2" fillId="0" borderId="25" xfId="0" applyFont="1" applyBorder="1" applyAlignment="1" applyProtection="1">
      <alignment horizontal="center"/>
      <protection hidden="1"/>
    </xf>
    <xf numFmtId="0" fontId="2" fillId="0" borderId="53" xfId="0" applyFont="1" applyBorder="1" applyAlignment="1" applyProtection="1">
      <alignment horizontal="center"/>
      <protection hidden="1"/>
    </xf>
    <xf numFmtId="0" fontId="2" fillId="0" borderId="55" xfId="0" applyFont="1" applyBorder="1" applyAlignment="1" applyProtection="1">
      <alignment horizontal="center"/>
      <protection hidden="1"/>
    </xf>
    <xf numFmtId="0" fontId="21" fillId="6" borderId="48" xfId="0" applyFont="1" applyFill="1" applyBorder="1" applyAlignment="1" applyProtection="1">
      <alignment horizontal="center"/>
      <protection hidden="1"/>
    </xf>
    <xf numFmtId="0" fontId="21" fillId="6" borderId="49" xfId="0" applyFont="1" applyFill="1" applyBorder="1" applyAlignment="1" applyProtection="1">
      <alignment horizontal="center"/>
      <protection hidden="1"/>
    </xf>
    <xf numFmtId="0" fontId="21" fillId="6" borderId="50" xfId="0" applyFont="1" applyFill="1" applyBorder="1" applyAlignment="1" applyProtection="1">
      <alignment horizontal="center"/>
      <protection hidden="1"/>
    </xf>
    <xf numFmtId="0" fontId="21" fillId="6" borderId="51" xfId="0" applyFont="1" applyFill="1" applyBorder="1" applyAlignment="1" applyProtection="1">
      <alignment horizontal="center"/>
      <protection hidden="1"/>
    </xf>
    <xf numFmtId="0" fontId="21" fillId="6" borderId="52" xfId="0" applyFont="1" applyFill="1" applyBorder="1" applyAlignment="1" applyProtection="1">
      <alignment horizontal="center"/>
      <protection hidden="1"/>
    </xf>
    <xf numFmtId="0" fontId="23" fillId="0" borderId="25" xfId="0" applyFont="1" applyBorder="1" applyAlignment="1" applyProtection="1">
      <alignment horizontal="center" shrinkToFit="1"/>
      <protection hidden="1"/>
    </xf>
    <xf numFmtId="0" fontId="23" fillId="0" borderId="53" xfId="0" applyFont="1" applyBorder="1" applyAlignment="1" applyProtection="1">
      <alignment horizontal="center" shrinkToFit="1"/>
      <protection hidden="1"/>
    </xf>
    <xf numFmtId="0" fontId="23" fillId="0" borderId="55" xfId="0" applyFont="1" applyBorder="1" applyAlignment="1" applyProtection="1">
      <alignment horizontal="center" shrinkToFit="1"/>
      <protection hidden="1"/>
    </xf>
    <xf numFmtId="0" fontId="20" fillId="0" borderId="35" xfId="0" applyFont="1" applyBorder="1" applyAlignment="1" applyProtection="1">
      <alignment horizontal="center" vertical="center" textRotation="90" wrapText="1"/>
      <protection hidden="1"/>
    </xf>
    <xf numFmtId="0" fontId="20" fillId="0" borderId="56" xfId="0" applyFont="1" applyBorder="1" applyAlignment="1" applyProtection="1">
      <alignment horizontal="center" vertical="center" textRotation="90" wrapText="1"/>
      <protection hidden="1"/>
    </xf>
    <xf numFmtId="0" fontId="20" fillId="0" borderId="38" xfId="0" applyFont="1" applyBorder="1" applyAlignment="1" applyProtection="1">
      <alignment horizontal="center" vertical="center" textRotation="90" wrapText="1"/>
      <protection hidden="1"/>
    </xf>
    <xf numFmtId="0" fontId="20" fillId="0" borderId="46" xfId="0" applyFont="1" applyBorder="1" applyAlignment="1" applyProtection="1">
      <alignment horizontal="center" vertical="center" textRotation="90" wrapText="1"/>
      <protection hidden="1"/>
    </xf>
    <xf numFmtId="0" fontId="20" fillId="0" borderId="42" xfId="0" applyFont="1" applyBorder="1" applyAlignment="1" applyProtection="1">
      <alignment horizontal="center" vertical="center" textRotation="90" wrapText="1"/>
      <protection hidden="1"/>
    </xf>
    <xf numFmtId="0" fontId="20" fillId="0" borderId="57" xfId="0" applyFont="1" applyBorder="1" applyAlignment="1" applyProtection="1">
      <alignment horizontal="center" vertical="center" textRotation="90" wrapText="1"/>
      <protection hidden="1"/>
    </xf>
    <xf numFmtId="0" fontId="20" fillId="0" borderId="58" xfId="0" applyFont="1" applyBorder="1" applyAlignment="1" applyProtection="1">
      <alignment horizontal="center" vertical="center" textRotation="90" wrapText="1"/>
      <protection hidden="1"/>
    </xf>
    <xf numFmtId="0" fontId="20" fillId="0" borderId="45" xfId="0" applyFont="1" applyBorder="1" applyAlignment="1" applyProtection="1">
      <alignment horizontal="center" vertical="center" textRotation="90" wrapText="1"/>
      <protection hidden="1"/>
    </xf>
    <xf numFmtId="0" fontId="20" fillId="0" borderId="59" xfId="0" applyFont="1" applyBorder="1" applyAlignment="1" applyProtection="1">
      <alignment horizontal="center" vertical="center" textRotation="90" wrapText="1"/>
      <protection hidden="1"/>
    </xf>
    <xf numFmtId="0" fontId="23" fillId="0" borderId="54" xfId="0" applyFont="1" applyBorder="1" applyAlignment="1" applyProtection="1">
      <alignment horizontal="center" shrinkToFit="1"/>
      <protection hidden="1"/>
    </xf>
    <xf numFmtId="0" fontId="20" fillId="0" borderId="19" xfId="0" applyFont="1" applyBorder="1" applyAlignment="1" applyProtection="1">
      <alignment horizontal="left"/>
      <protection hidden="1"/>
    </xf>
    <xf numFmtId="0" fontId="20" fillId="0" borderId="3" xfId="0" applyFont="1" applyBorder="1" applyAlignment="1" applyProtection="1">
      <alignment horizontal="left"/>
      <protection hidden="1"/>
    </xf>
    <xf numFmtId="0" fontId="20" fillId="0" borderId="4" xfId="0" applyFont="1" applyBorder="1" applyAlignment="1" applyProtection="1">
      <alignment horizontal="left"/>
      <protection hidden="1"/>
    </xf>
    <xf numFmtId="0" fontId="20" fillId="0" borderId="32" xfId="0" applyFont="1" applyBorder="1" applyAlignment="1" applyProtection="1">
      <alignment horizontal="left"/>
      <protection hidden="1"/>
    </xf>
    <xf numFmtId="0" fontId="20" fillId="0" borderId="53" xfId="0" applyFont="1" applyBorder="1" applyAlignment="1" applyProtection="1">
      <alignment horizontal="left"/>
      <protection hidden="1"/>
    </xf>
    <xf numFmtId="0" fontId="20" fillId="0" borderId="54" xfId="0" applyFont="1" applyBorder="1" applyAlignment="1" applyProtection="1">
      <alignment horizontal="left"/>
      <protection hidden="1"/>
    </xf>
    <xf numFmtId="0" fontId="0" fillId="0" borderId="2" xfId="0" applyFont="1" applyBorder="1" applyAlignment="1" applyProtection="1">
      <alignment horizontal="left"/>
      <protection hidden="1"/>
    </xf>
    <xf numFmtId="0" fontId="0" fillId="0" borderId="3" xfId="0" applyFont="1" applyBorder="1" applyAlignment="1" applyProtection="1">
      <alignment horizontal="left"/>
      <protection hidden="1"/>
    </xf>
    <xf numFmtId="0" fontId="0" fillId="0" borderId="47" xfId="0" applyFont="1" applyBorder="1" applyAlignment="1" applyProtection="1">
      <alignment horizontal="left"/>
      <protection hidden="1"/>
    </xf>
    <xf numFmtId="0" fontId="23" fillId="0" borderId="25" xfId="0" applyFont="1" applyBorder="1" applyAlignment="1" applyProtection="1">
      <alignment horizontal="center"/>
      <protection hidden="1"/>
    </xf>
    <xf numFmtId="0" fontId="23" fillId="0" borderId="54" xfId="0" applyFont="1" applyBorder="1" applyAlignment="1" applyProtection="1">
      <alignment horizontal="center"/>
      <protection hidden="1"/>
    </xf>
    <xf numFmtId="0" fontId="2" fillId="0" borderId="54" xfId="0" applyFont="1" applyBorder="1" applyAlignment="1" applyProtection="1">
      <alignment horizontal="center"/>
      <protection hidden="1"/>
    </xf>
    <xf numFmtId="0" fontId="23" fillId="0" borderId="51" xfId="0" applyFont="1" applyBorder="1" applyAlignment="1" applyProtection="1">
      <alignment horizontal="center"/>
      <protection hidden="1"/>
    </xf>
    <xf numFmtId="0" fontId="23" fillId="0" borderId="49" xfId="0" applyFont="1" applyBorder="1" applyAlignment="1" applyProtection="1">
      <alignment horizontal="center"/>
      <protection hidden="1"/>
    </xf>
    <xf numFmtId="0" fontId="23" fillId="0" borderId="52" xfId="0" applyFont="1" applyBorder="1" applyAlignment="1" applyProtection="1">
      <alignment horizontal="center"/>
      <protection hidden="1"/>
    </xf>
    <xf numFmtId="0" fontId="23" fillId="0" borderId="53" xfId="0" applyFont="1" applyBorder="1" applyAlignment="1" applyProtection="1">
      <alignment horizontal="center"/>
      <protection hidden="1"/>
    </xf>
    <xf numFmtId="0" fontId="23" fillId="0" borderId="55" xfId="0" applyFont="1" applyBorder="1" applyAlignment="1" applyProtection="1">
      <alignment horizontal="center"/>
      <protection hidden="1"/>
    </xf>
    <xf numFmtId="0" fontId="0" fillId="6" borderId="48" xfId="0" applyFill="1" applyBorder="1" applyAlignment="1" applyProtection="1">
      <alignment horizontal="center"/>
      <protection hidden="1"/>
    </xf>
    <xf numFmtId="0" fontId="0" fillId="6" borderId="49" xfId="0" applyFill="1" applyBorder="1" applyAlignment="1" applyProtection="1">
      <alignment horizontal="center"/>
      <protection hidden="1"/>
    </xf>
    <xf numFmtId="0" fontId="0" fillId="6" borderId="50" xfId="0" applyFill="1" applyBorder="1" applyAlignment="1" applyProtection="1">
      <alignment horizontal="center"/>
      <protection hidden="1"/>
    </xf>
    <xf numFmtId="0" fontId="0" fillId="6" borderId="51" xfId="0" applyFill="1" applyBorder="1" applyAlignment="1" applyProtection="1">
      <alignment horizontal="center"/>
      <protection hidden="1"/>
    </xf>
    <xf numFmtId="0" fontId="0" fillId="6" borderId="52" xfId="0" applyFill="1" applyBorder="1" applyAlignment="1" applyProtection="1">
      <alignment horizontal="center"/>
      <protection hidden="1"/>
    </xf>
    <xf numFmtId="0" fontId="0" fillId="0" borderId="25" xfId="0" applyFont="1" applyBorder="1" applyAlignment="1" applyProtection="1">
      <alignment horizontal="left"/>
      <protection hidden="1"/>
    </xf>
    <xf numFmtId="0" fontId="0" fillId="0" borderId="53" xfId="0" applyFont="1" applyBorder="1" applyAlignment="1" applyProtection="1">
      <alignment horizontal="left"/>
      <protection hidden="1"/>
    </xf>
    <xf numFmtId="0" fontId="0" fillId="0" borderId="55" xfId="0" applyFont="1" applyBorder="1" applyAlignment="1" applyProtection="1">
      <alignment horizontal="left"/>
      <protection hidden="1"/>
    </xf>
    <xf numFmtId="0" fontId="22" fillId="6" borderId="48" xfId="0" applyFont="1" applyFill="1" applyBorder="1" applyAlignment="1" applyProtection="1">
      <alignment horizontal="left"/>
      <protection hidden="1"/>
    </xf>
    <xf numFmtId="0" fontId="22" fillId="6" borderId="49" xfId="0" applyFont="1" applyFill="1" applyBorder="1" applyAlignment="1" applyProtection="1">
      <alignment horizontal="left"/>
      <protection hidden="1"/>
    </xf>
    <xf numFmtId="0" fontId="22" fillId="6" borderId="32" xfId="0" applyFont="1" applyFill="1" applyBorder="1" applyAlignment="1" applyProtection="1">
      <alignment horizontal="left"/>
      <protection hidden="1"/>
    </xf>
    <xf numFmtId="0" fontId="22" fillId="6" borderId="53" xfId="0" applyFont="1" applyFill="1" applyBorder="1" applyAlignment="1" applyProtection="1">
      <alignment horizontal="left"/>
      <protection hidden="1"/>
    </xf>
    <xf numFmtId="0" fontId="23" fillId="0" borderId="50" xfId="0" applyFont="1" applyBorder="1" applyAlignment="1" applyProtection="1">
      <alignment horizontal="center"/>
      <protection hidden="1"/>
    </xf>
    <xf numFmtId="14" fontId="23" fillId="0" borderId="25" xfId="0" applyNumberFormat="1" applyFont="1" applyBorder="1" applyAlignment="1" applyProtection="1">
      <alignment horizontal="center"/>
      <protection hidden="1"/>
    </xf>
    <xf numFmtId="14" fontId="23" fillId="0" borderId="54" xfId="0" applyNumberFormat="1" applyFont="1" applyBorder="1" applyAlignment="1" applyProtection="1">
      <alignment horizontal="center"/>
      <protection hidden="1"/>
    </xf>
    <xf numFmtId="0" fontId="23" fillId="0" borderId="47" xfId="0" applyFont="1" applyBorder="1" applyAlignment="1" applyProtection="1">
      <alignment horizontal="center"/>
      <protection hidden="1"/>
    </xf>
    <xf numFmtId="0" fontId="21" fillId="6" borderId="30" xfId="0" applyFont="1" applyFill="1" applyBorder="1" applyAlignment="1" applyProtection="1">
      <alignment horizontal="left"/>
      <protection hidden="1"/>
    </xf>
    <xf numFmtId="0" fontId="21" fillId="6" borderId="26" xfId="0" applyFont="1" applyFill="1" applyBorder="1" applyAlignment="1" applyProtection="1">
      <alignment horizontal="left"/>
      <protection hidden="1"/>
    </xf>
    <xf numFmtId="0" fontId="21" fillId="6" borderId="29" xfId="0" applyFont="1" applyFill="1" applyBorder="1" applyAlignment="1" applyProtection="1">
      <alignment horizontal="left"/>
      <protection hidden="1"/>
    </xf>
    <xf numFmtId="0" fontId="21" fillId="6" borderId="58"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1" fillId="6" borderId="12" xfId="0" applyFont="1" applyFill="1" applyBorder="1" applyAlignment="1" applyProtection="1">
      <alignment horizontal="center" vertical="center" wrapText="1"/>
      <protection hidden="1"/>
    </xf>
    <xf numFmtId="0" fontId="21" fillId="6" borderId="60" xfId="0" applyFont="1" applyFill="1" applyBorder="1" applyAlignment="1" applyProtection="1">
      <alignment horizontal="center" vertical="center" wrapText="1"/>
      <protection hidden="1"/>
    </xf>
    <xf numFmtId="0" fontId="2" fillId="0" borderId="33" xfId="0" applyFont="1" applyFill="1" applyBorder="1" applyAlignment="1" applyProtection="1">
      <alignment horizontal="center"/>
      <protection hidden="1"/>
    </xf>
    <xf numFmtId="0" fontId="2" fillId="0" borderId="26" xfId="0" applyFont="1" applyFill="1" applyBorder="1" applyAlignment="1" applyProtection="1">
      <alignment horizontal="center"/>
      <protection hidden="1"/>
    </xf>
    <xf numFmtId="0" fontId="2" fillId="0" borderId="34" xfId="0" applyFont="1" applyFill="1" applyBorder="1" applyAlignment="1" applyProtection="1">
      <alignment horizontal="center"/>
      <protection hidden="1"/>
    </xf>
    <xf numFmtId="0" fontId="21" fillId="6" borderId="10" xfId="0" applyFont="1" applyFill="1" applyBorder="1" applyAlignment="1" applyProtection="1">
      <alignment horizontal="center" vertical="center" wrapText="1"/>
      <protection hidden="1"/>
    </xf>
    <xf numFmtId="0" fontId="21" fillId="6" borderId="61" xfId="0" applyFont="1" applyFill="1" applyBorder="1" applyAlignment="1" applyProtection="1">
      <alignment horizontal="center" vertical="center" wrapText="1"/>
      <protection hidden="1"/>
    </xf>
    <xf numFmtId="0" fontId="21" fillId="6" borderId="19" xfId="0" applyFont="1" applyFill="1" applyBorder="1" applyAlignment="1" applyProtection="1">
      <alignment horizontal="center"/>
      <protection hidden="1"/>
    </xf>
    <xf numFmtId="0" fontId="21" fillId="6" borderId="4" xfId="0" applyFont="1" applyFill="1" applyBorder="1" applyAlignment="1" applyProtection="1">
      <alignment horizontal="center"/>
      <protection hidden="1"/>
    </xf>
    <xf numFmtId="0" fontId="21" fillId="6" borderId="2" xfId="0" applyFont="1" applyFill="1" applyBorder="1" applyAlignment="1" applyProtection="1">
      <alignment horizontal="center"/>
      <protection hidden="1"/>
    </xf>
    <xf numFmtId="0" fontId="23" fillId="0" borderId="2" xfId="1" applyNumberFormat="1" applyFont="1" applyFill="1" applyBorder="1" applyAlignment="1" applyProtection="1">
      <alignment horizontal="center"/>
      <protection hidden="1"/>
    </xf>
    <xf numFmtId="0" fontId="23" fillId="0" borderId="4" xfId="1" applyNumberFormat="1" applyFont="1" applyFill="1" applyBorder="1" applyAlignment="1" applyProtection="1">
      <alignment horizontal="center"/>
      <protection hidden="1"/>
    </xf>
    <xf numFmtId="0" fontId="23" fillId="0" borderId="25" xfId="1" applyNumberFormat="1" applyFont="1" applyFill="1" applyBorder="1" applyAlignment="1" applyProtection="1">
      <alignment horizontal="center"/>
      <protection hidden="1"/>
    </xf>
    <xf numFmtId="0" fontId="23" fillId="0" borderId="54" xfId="1" applyNumberFormat="1" applyFont="1" applyFill="1" applyBorder="1" applyAlignment="1" applyProtection="1">
      <alignment horizontal="center"/>
      <protection hidden="1"/>
    </xf>
    <xf numFmtId="0" fontId="2" fillId="0" borderId="29" xfId="0" applyFont="1" applyBorder="1" applyAlignment="1" applyProtection="1">
      <alignment horizontal="center"/>
      <protection hidden="1"/>
    </xf>
    <xf numFmtId="0" fontId="2" fillId="0" borderId="33" xfId="0" applyFont="1" applyBorder="1" applyAlignment="1" applyProtection="1">
      <alignment horizontal="center"/>
      <protection hidden="1"/>
    </xf>
    <xf numFmtId="0" fontId="21" fillId="6" borderId="33" xfId="0" applyFont="1" applyFill="1" applyBorder="1" applyAlignment="1" applyProtection="1">
      <alignment horizontal="left"/>
      <protection hidden="1"/>
    </xf>
    <xf numFmtId="0" fontId="21" fillId="6" borderId="11" xfId="0" applyFont="1" applyFill="1" applyBorder="1" applyAlignment="1" applyProtection="1">
      <alignment horizontal="center" vertical="center" wrapText="1"/>
      <protection hidden="1"/>
    </xf>
    <xf numFmtId="0" fontId="21" fillId="6" borderId="13"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25" fillId="0" borderId="2" xfId="0" applyFont="1" applyFill="1" applyBorder="1" applyAlignment="1" applyProtection="1">
      <alignment horizontal="left" vertical="center" wrapText="1"/>
      <protection hidden="1"/>
    </xf>
    <xf numFmtId="0" fontId="25" fillId="0" borderId="3" xfId="0" applyFont="1" applyFill="1" applyBorder="1" applyAlignment="1" applyProtection="1">
      <alignment horizontal="left" vertical="center" wrapText="1"/>
      <protection hidden="1"/>
    </xf>
    <xf numFmtId="0" fontId="25" fillId="0" borderId="47" xfId="0" applyFont="1" applyFill="1" applyBorder="1" applyAlignment="1" applyProtection="1">
      <alignment horizontal="left" vertical="center" wrapText="1"/>
      <protection hidden="1"/>
    </xf>
    <xf numFmtId="0" fontId="25" fillId="0" borderId="25" xfId="0" applyFont="1" applyFill="1" applyBorder="1" applyAlignment="1" applyProtection="1">
      <alignment horizontal="left" vertical="center" wrapText="1"/>
      <protection hidden="1"/>
    </xf>
    <xf numFmtId="0" fontId="25" fillId="0" borderId="53" xfId="0" applyFont="1" applyFill="1" applyBorder="1" applyAlignment="1" applyProtection="1">
      <alignment horizontal="left" vertical="center" wrapText="1"/>
      <protection hidden="1"/>
    </xf>
    <xf numFmtId="0" fontId="25" fillId="0" borderId="55" xfId="0" applyFont="1" applyFill="1" applyBorder="1" applyAlignment="1" applyProtection="1">
      <alignment horizontal="left" vertical="center" wrapText="1"/>
      <protection hidden="1"/>
    </xf>
    <xf numFmtId="0" fontId="0" fillId="0" borderId="14"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25" fillId="0" borderId="15" xfId="0" applyFont="1" applyFill="1" applyBorder="1" applyAlignment="1" applyProtection="1">
      <alignment horizontal="left" vertical="top" wrapText="1"/>
      <protection hidden="1"/>
    </xf>
    <xf numFmtId="0" fontId="25" fillId="0" borderId="16" xfId="0" applyFont="1" applyFill="1" applyBorder="1" applyAlignment="1" applyProtection="1">
      <alignment horizontal="left" vertical="top" wrapText="1"/>
      <protection hidden="1"/>
    </xf>
    <xf numFmtId="0" fontId="25" fillId="0" borderId="1" xfId="0" applyFont="1" applyFill="1" applyBorder="1" applyAlignment="1" applyProtection="1">
      <alignment horizontal="left" vertical="top" wrapText="1"/>
      <protection hidden="1"/>
    </xf>
    <xf numFmtId="0" fontId="25" fillId="0" borderId="18" xfId="0" applyFont="1" applyFill="1" applyBorder="1" applyAlignment="1" applyProtection="1">
      <alignment horizontal="left" vertical="top" wrapText="1"/>
      <protection hidden="1"/>
    </xf>
    <xf numFmtId="0" fontId="25" fillId="0" borderId="21" xfId="0" applyFont="1" applyFill="1" applyBorder="1" applyAlignment="1" applyProtection="1">
      <alignment horizontal="left" vertical="top" wrapText="1"/>
      <protection hidden="1"/>
    </xf>
    <xf numFmtId="0" fontId="25" fillId="0" borderId="22" xfId="0" applyFont="1" applyFill="1" applyBorder="1" applyAlignment="1" applyProtection="1">
      <alignment horizontal="left" vertical="top" wrapText="1"/>
      <protection hidden="1"/>
    </xf>
    <xf numFmtId="0" fontId="20" fillId="0" borderId="21" xfId="0" applyFont="1" applyFill="1" applyBorder="1" applyAlignment="1" applyProtection="1">
      <alignment horizontal="center" vertical="center"/>
      <protection hidden="1"/>
    </xf>
    <xf numFmtId="0" fontId="0" fillId="6" borderId="51" xfId="0" applyFill="1" applyBorder="1" applyAlignment="1" applyProtection="1">
      <alignment horizontal="center" vertical="center"/>
      <protection hidden="1"/>
    </xf>
    <xf numFmtId="0" fontId="0" fillId="6" borderId="49" xfId="0" applyFill="1" applyBorder="1" applyAlignment="1" applyProtection="1">
      <alignment horizontal="center" vertical="center"/>
      <protection hidden="1"/>
    </xf>
    <xf numFmtId="0" fontId="0" fillId="6" borderId="52" xfId="0" applyFill="1" applyBorder="1" applyAlignment="1" applyProtection="1">
      <alignment horizontal="center" vertical="center"/>
      <protection hidden="1"/>
    </xf>
    <xf numFmtId="0" fontId="0" fillId="6" borderId="51" xfId="0" applyFill="1" applyBorder="1" applyAlignment="1" applyProtection="1">
      <alignment horizontal="center" vertical="top" wrapText="1"/>
      <protection hidden="1"/>
    </xf>
    <xf numFmtId="0" fontId="0" fillId="6" borderId="50" xfId="0" applyFill="1" applyBorder="1" applyAlignment="1" applyProtection="1">
      <alignment horizontal="center" vertical="top" wrapText="1"/>
      <protection hidden="1"/>
    </xf>
    <xf numFmtId="0" fontId="8" fillId="0" borderId="21" xfId="0" applyFont="1" applyBorder="1" applyAlignment="1" applyProtection="1">
      <alignment horizontal="center"/>
      <protection hidden="1"/>
    </xf>
    <xf numFmtId="0" fontId="8" fillId="0" borderId="22" xfId="0" applyFont="1" applyBorder="1" applyAlignment="1" applyProtection="1">
      <alignment horizontal="center"/>
      <protection hidden="1"/>
    </xf>
    <xf numFmtId="0" fontId="2" fillId="6" borderId="42" xfId="0" applyFont="1" applyFill="1" applyBorder="1" applyAlignment="1" applyProtection="1">
      <alignment horizontal="left"/>
      <protection hidden="1"/>
    </xf>
    <xf numFmtId="0" fontId="2" fillId="6" borderId="43" xfId="0" applyFont="1" applyFill="1" applyBorder="1" applyAlignment="1" applyProtection="1">
      <alignment horizontal="left"/>
      <protection hidden="1"/>
    </xf>
    <xf numFmtId="0" fontId="2" fillId="6" borderId="57" xfId="0" applyFont="1" applyFill="1" applyBorder="1" applyAlignment="1" applyProtection="1">
      <alignment horizontal="left"/>
      <protection hidden="1"/>
    </xf>
    <xf numFmtId="0" fontId="2" fillId="0" borderId="59" xfId="0" applyFont="1" applyBorder="1" applyAlignment="1" applyProtection="1">
      <alignment horizontal="center"/>
      <protection hidden="1"/>
    </xf>
    <xf numFmtId="0" fontId="2" fillId="0" borderId="44" xfId="0" applyFont="1" applyBorder="1" applyAlignment="1" applyProtection="1">
      <alignment horizontal="center"/>
      <protection hidden="1"/>
    </xf>
    <xf numFmtId="0" fontId="32" fillId="0" borderId="15" xfId="0" applyFont="1" applyFill="1" applyBorder="1" applyAlignment="1" applyProtection="1">
      <alignment horizontal="left" vertical="top" wrapText="1"/>
      <protection hidden="1"/>
    </xf>
    <xf numFmtId="0" fontId="32" fillId="0" borderId="16" xfId="0" applyFont="1" applyFill="1" applyBorder="1" applyAlignment="1" applyProtection="1">
      <alignment horizontal="left" vertical="top" wrapText="1"/>
      <protection hidden="1"/>
    </xf>
    <xf numFmtId="0" fontId="32" fillId="0" borderId="1" xfId="0" applyFont="1" applyFill="1" applyBorder="1" applyAlignment="1" applyProtection="1">
      <alignment horizontal="left" vertical="top" wrapText="1"/>
      <protection hidden="1"/>
    </xf>
    <xf numFmtId="0" fontId="32" fillId="0" borderId="18" xfId="0" applyFont="1" applyFill="1" applyBorder="1" applyAlignment="1" applyProtection="1">
      <alignment horizontal="left" vertical="top" wrapText="1"/>
      <protection hidden="1"/>
    </xf>
    <xf numFmtId="0" fontId="32" fillId="0" borderId="21" xfId="0" applyFont="1" applyFill="1" applyBorder="1" applyAlignment="1" applyProtection="1">
      <alignment horizontal="left" vertical="top" wrapText="1"/>
      <protection hidden="1"/>
    </xf>
    <xf numFmtId="0" fontId="32" fillId="0" borderId="22" xfId="0" applyFont="1" applyFill="1" applyBorder="1" applyAlignment="1" applyProtection="1">
      <alignment horizontal="left" vertical="top" wrapText="1"/>
      <protection hidden="1"/>
    </xf>
    <xf numFmtId="0" fontId="0" fillId="6" borderId="14" xfId="0" applyFill="1" applyBorder="1" applyAlignment="1" applyProtection="1">
      <alignment horizontal="center" vertical="center" wrapText="1"/>
      <protection hidden="1"/>
    </xf>
    <xf numFmtId="0" fontId="0" fillId="6" borderId="15" xfId="0" applyFill="1" applyBorder="1" applyAlignment="1" applyProtection="1">
      <alignment horizontal="center" vertical="center" wrapText="1"/>
      <protection hidden="1"/>
    </xf>
    <xf numFmtId="0" fontId="0" fillId="6" borderId="17" xfId="0"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6" borderId="20" xfId="0" applyFill="1" applyBorder="1" applyAlignment="1" applyProtection="1">
      <alignment horizontal="center" vertical="center" wrapText="1"/>
      <protection hidden="1"/>
    </xf>
    <xf numFmtId="0" fontId="0" fillId="6" borderId="21" xfId="0" applyFill="1" applyBorder="1" applyAlignment="1" applyProtection="1">
      <alignment horizontal="center" vertical="center" wrapText="1"/>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4" xfId="0" applyFill="1" applyBorder="1" applyAlignment="1" applyProtection="1">
      <alignment horizontal="center" vertical="center"/>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165" fontId="0" fillId="0" borderId="2" xfId="0" applyNumberFormat="1" applyBorder="1" applyAlignment="1" applyProtection="1">
      <alignment horizontal="center"/>
      <protection hidden="1"/>
    </xf>
    <xf numFmtId="165" fontId="0" fillId="0" borderId="3" xfId="0" applyNumberFormat="1" applyBorder="1" applyAlignment="1" applyProtection="1">
      <alignment horizontal="center"/>
      <protection hidden="1"/>
    </xf>
    <xf numFmtId="165" fontId="0" fillId="0" borderId="4" xfId="0" applyNumberFormat="1" applyBorder="1" applyAlignment="1" applyProtection="1">
      <alignment horizontal="center"/>
      <protection hidden="1"/>
    </xf>
    <xf numFmtId="0" fontId="0" fillId="0" borderId="0" xfId="0" applyAlignment="1" applyProtection="1">
      <alignment vertical="top" wrapText="1"/>
      <protection hidden="1"/>
    </xf>
    <xf numFmtId="49" fontId="71" fillId="4" borderId="109" xfId="0" applyNumberFormat="1" applyFont="1" applyFill="1" applyBorder="1" applyAlignment="1">
      <alignment horizontal="center" vertical="center" wrapText="1"/>
    </xf>
  </cellXfs>
  <cellStyles count="5">
    <cellStyle name="Normale" xfId="0" builtinId="0"/>
    <cellStyle name="Normale 2" xfId="2" xr:uid="{00000000-0005-0000-0000-000001000000}"/>
    <cellStyle name="Normale 3" xfId="4" xr:uid="{00000000-0005-0000-0000-000002000000}"/>
    <cellStyle name="Percentuale" xfId="1" builtinId="5"/>
    <cellStyle name="Percentuale 2" xfId="3" xr:uid="{00000000-0005-0000-0000-000004000000}"/>
  </cellStyles>
  <dxfs count="0"/>
  <tableStyles count="0" defaultTableStyle="TableStyleMedium9" defaultPivotStyle="PivotStyleLight16"/>
  <colors>
    <mruColors>
      <color rgb="FF66CCFF"/>
      <color rgb="FF99FF99"/>
      <color rgb="FF99FF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22860</xdr:rowOff>
    </xdr:from>
    <xdr:to>
      <xdr:col>1</xdr:col>
      <xdr:colOff>504825</xdr:colOff>
      <xdr:row>3</xdr:row>
      <xdr:rowOff>38100</xdr:rowOff>
    </xdr:to>
    <xdr:pic>
      <xdr:nvPicPr>
        <xdr:cNvPr id="2" name="Picture 1" descr="LOGO_ENERGHIA">
          <a:extLst>
            <a:ext uri="{FF2B5EF4-FFF2-40B4-BE49-F238E27FC236}">
              <a16:creationId xmlns:a16="http://schemas.microsoft.com/office/drawing/2014/main" id="{00000000-0008-0000-0000-000002000000}"/>
            </a:ext>
          </a:extLst>
        </xdr:cNvPr>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657225" y="22860"/>
          <a:ext cx="457200" cy="3657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0</xdr:row>
      <xdr:rowOff>71624</xdr:rowOff>
    </xdr:from>
    <xdr:to>
      <xdr:col>0</xdr:col>
      <xdr:colOff>536575</xdr:colOff>
      <xdr:row>1</xdr:row>
      <xdr:rowOff>206375</xdr:rowOff>
    </xdr:to>
    <xdr:pic>
      <xdr:nvPicPr>
        <xdr:cNvPr id="2" name="Picture 1" descr="LOGO_ENERGHIA">
          <a:extLst>
            <a:ext uri="{FF2B5EF4-FFF2-40B4-BE49-F238E27FC236}">
              <a16:creationId xmlns:a16="http://schemas.microsoft.com/office/drawing/2014/main" id="{00000000-0008-0000-0100-000002000000}"/>
            </a:ext>
          </a:extLst>
        </xdr:cNvPr>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127000" y="71624"/>
          <a:ext cx="409575" cy="325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0</xdr:row>
      <xdr:rowOff>71624</xdr:rowOff>
    </xdr:from>
    <xdr:to>
      <xdr:col>0</xdr:col>
      <xdr:colOff>685800</xdr:colOff>
      <xdr:row>1</xdr:row>
      <xdr:rowOff>206375</xdr:rowOff>
    </xdr:to>
    <xdr:pic>
      <xdr:nvPicPr>
        <xdr:cNvPr id="3" name="Picture 1" descr="LOGO_ENERGHIA">
          <a:extLst>
            <a:ext uri="{FF2B5EF4-FFF2-40B4-BE49-F238E27FC236}">
              <a16:creationId xmlns:a16="http://schemas.microsoft.com/office/drawing/2014/main" id="{00000000-0008-0000-0200-000003000000}"/>
            </a:ext>
          </a:extLst>
        </xdr:cNvPr>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127000" y="71624"/>
          <a:ext cx="558800" cy="44907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123825</xdr:rowOff>
    </xdr:from>
    <xdr:to>
      <xdr:col>0</xdr:col>
      <xdr:colOff>485775</xdr:colOff>
      <xdr:row>1</xdr:row>
      <xdr:rowOff>200025</xdr:rowOff>
    </xdr:to>
    <xdr:pic>
      <xdr:nvPicPr>
        <xdr:cNvPr id="2" name="Picture 1" descr="LOGO_ENERGHIA">
          <a:extLst>
            <a:ext uri="{FF2B5EF4-FFF2-40B4-BE49-F238E27FC236}">
              <a16:creationId xmlns:a16="http://schemas.microsoft.com/office/drawing/2014/main" id="{00000000-0008-0000-0500-000002000000}"/>
            </a:ext>
          </a:extLst>
        </xdr:cNvPr>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28575" y="123825"/>
          <a:ext cx="457200" cy="4000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276224</xdr:colOff>
      <xdr:row>2</xdr:row>
      <xdr:rowOff>9525</xdr:rowOff>
    </xdr:from>
    <xdr:to>
      <xdr:col>12</xdr:col>
      <xdr:colOff>327286</xdr:colOff>
      <xdr:row>8</xdr:row>
      <xdr:rowOff>9525</xdr:rowOff>
    </xdr:to>
    <xdr:pic>
      <xdr:nvPicPr>
        <xdr:cNvPr id="25" name="Picture 6" descr="Doganemonopoli">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57224" y="390525"/>
          <a:ext cx="4242062" cy="1143000"/>
        </a:xfrm>
        <a:prstGeom prst="rect">
          <a:avLst/>
        </a:prstGeom>
        <a:noFill/>
        <a:ln w="9525">
          <a:noFill/>
          <a:miter lim="800000"/>
          <a:headEnd/>
          <a:tailEnd/>
        </a:ln>
      </xdr:spPr>
    </xdr:pic>
    <xdr:clientData/>
  </xdr:twoCellAnchor>
  <xdr:twoCellAnchor editAs="oneCell">
    <xdr:from>
      <xdr:col>15</xdr:col>
      <xdr:colOff>56881</xdr:colOff>
      <xdr:row>1</xdr:row>
      <xdr:rowOff>95250</xdr:rowOff>
    </xdr:from>
    <xdr:to>
      <xdr:col>20</xdr:col>
      <xdr:colOff>308020</xdr:colOff>
      <xdr:row>9</xdr:row>
      <xdr:rowOff>133350</xdr:rowOff>
    </xdr:to>
    <xdr:pic>
      <xdr:nvPicPr>
        <xdr:cNvPr id="4" name="Immagine 3" descr="etichetta 54x36 - 2017.jp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stretch>
          <a:fillRect/>
        </a:stretch>
      </xdr:blipFill>
      <xdr:spPr>
        <a:xfrm>
          <a:off x="5771881" y="285750"/>
          <a:ext cx="2156139" cy="1562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276224</xdr:colOff>
      <xdr:row>2</xdr:row>
      <xdr:rowOff>9525</xdr:rowOff>
    </xdr:from>
    <xdr:to>
      <xdr:col>12</xdr:col>
      <xdr:colOff>327286</xdr:colOff>
      <xdr:row>8</xdr:row>
      <xdr:rowOff>9525</xdr:rowOff>
    </xdr:to>
    <xdr:pic>
      <xdr:nvPicPr>
        <xdr:cNvPr id="2" name="Picture 6" descr="Doganemonopoli">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57224" y="390525"/>
          <a:ext cx="4242062" cy="1143000"/>
        </a:xfrm>
        <a:prstGeom prst="rect">
          <a:avLst/>
        </a:prstGeom>
        <a:noFill/>
        <a:ln w="9525">
          <a:noFill/>
          <a:miter lim="800000"/>
          <a:headEnd/>
          <a:tailEnd/>
        </a:ln>
      </xdr:spPr>
    </xdr:pic>
    <xdr:clientData/>
  </xdr:twoCellAnchor>
  <xdr:twoCellAnchor editAs="oneCell">
    <xdr:from>
      <xdr:col>15</xdr:col>
      <xdr:colOff>56881</xdr:colOff>
      <xdr:row>1</xdr:row>
      <xdr:rowOff>95250</xdr:rowOff>
    </xdr:from>
    <xdr:to>
      <xdr:col>20</xdr:col>
      <xdr:colOff>308020</xdr:colOff>
      <xdr:row>9</xdr:row>
      <xdr:rowOff>133350</xdr:rowOff>
    </xdr:to>
    <xdr:pic>
      <xdr:nvPicPr>
        <xdr:cNvPr id="3" name="Immagine 2" descr="etichetta 54x36 - 2017.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tretch>
          <a:fillRect/>
        </a:stretch>
      </xdr:blipFill>
      <xdr:spPr>
        <a:xfrm>
          <a:off x="5771881" y="285750"/>
          <a:ext cx="2156139" cy="15621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35"/>
  <sheetViews>
    <sheetView showWhiteSpace="0" view="pageBreakPreview" zoomScaleNormal="125" zoomScaleSheetLayoutView="100" workbookViewId="0">
      <selection activeCell="J7" sqref="J7:M7"/>
    </sheetView>
  </sheetViews>
  <sheetFormatPr defaultRowHeight="11.25" customHeight="1" x14ac:dyDescent="0.2"/>
  <cols>
    <col min="1" max="1" width="9.140625" style="249" customWidth="1"/>
    <col min="2" max="2" width="14.85546875" style="249" customWidth="1"/>
    <col min="3" max="3" width="12.28515625" style="249" customWidth="1"/>
    <col min="4" max="4" width="12.5703125" style="249" customWidth="1"/>
    <col min="5" max="5" width="12.7109375" style="249" customWidth="1"/>
    <col min="6" max="6" width="12.5703125" style="249" customWidth="1"/>
    <col min="7" max="7" width="12.28515625" style="249" customWidth="1"/>
    <col min="8" max="8" width="13.28515625" style="249" customWidth="1"/>
    <col min="9" max="9" width="11.5703125" style="249" customWidth="1"/>
    <col min="10" max="10" width="11.85546875" style="249" customWidth="1"/>
    <col min="11" max="12" width="11.7109375" style="249" customWidth="1"/>
    <col min="13" max="13" width="10.85546875" style="249" customWidth="1"/>
    <col min="14" max="16384" width="9.140625" style="249"/>
  </cols>
  <sheetData>
    <row r="1" spans="2:15" ht="12" customHeight="1" x14ac:dyDescent="0.2">
      <c r="B1" s="1169" t="s">
        <v>756</v>
      </c>
      <c r="C1" s="1170"/>
      <c r="D1" s="1170"/>
      <c r="E1" s="1170"/>
      <c r="F1" s="1171"/>
      <c r="G1" s="1178" t="s">
        <v>757</v>
      </c>
      <c r="H1" s="1179"/>
      <c r="I1" s="1179"/>
      <c r="J1" s="1180"/>
      <c r="K1" s="1187" t="s">
        <v>758</v>
      </c>
      <c r="L1" s="1188"/>
      <c r="M1" s="1189"/>
    </row>
    <row r="2" spans="2:15" ht="9.75" customHeight="1" x14ac:dyDescent="0.2">
      <c r="B2" s="1172"/>
      <c r="C2" s="1173"/>
      <c r="D2" s="1173"/>
      <c r="E2" s="1173"/>
      <c r="F2" s="1174"/>
      <c r="G2" s="1181"/>
      <c r="H2" s="1182"/>
      <c r="I2" s="1182"/>
      <c r="J2" s="1183"/>
      <c r="K2" s="1190"/>
      <c r="L2" s="1191"/>
      <c r="M2" s="1192"/>
    </row>
    <row r="3" spans="2:15" ht="6" customHeight="1" x14ac:dyDescent="0.2">
      <c r="B3" s="1172"/>
      <c r="C3" s="1173"/>
      <c r="D3" s="1173"/>
      <c r="E3" s="1173"/>
      <c r="F3" s="1174"/>
      <c r="G3" s="1181"/>
      <c r="H3" s="1182"/>
      <c r="I3" s="1182"/>
      <c r="J3" s="1183"/>
      <c r="K3" s="1190"/>
      <c r="L3" s="1191"/>
      <c r="M3" s="1192"/>
    </row>
    <row r="4" spans="2:15" ht="6" customHeight="1" x14ac:dyDescent="0.2">
      <c r="B4" s="1175"/>
      <c r="C4" s="1176"/>
      <c r="D4" s="1176"/>
      <c r="E4" s="1176"/>
      <c r="F4" s="1177"/>
      <c r="G4" s="1184"/>
      <c r="H4" s="1185"/>
      <c r="I4" s="1185"/>
      <c r="J4" s="1186"/>
      <c r="K4" s="1193"/>
      <c r="L4" s="1194"/>
      <c r="M4" s="1195"/>
    </row>
    <row r="5" spans="2:15" ht="14.1" customHeight="1" x14ac:dyDescent="0.2">
      <c r="B5" s="523" t="s">
        <v>759</v>
      </c>
      <c r="C5" s="250"/>
      <c r="D5" s="250"/>
      <c r="E5" s="250"/>
      <c r="F5" s="250"/>
      <c r="G5" s="250"/>
      <c r="H5" s="251"/>
      <c r="I5" s="252"/>
      <c r="J5" s="252"/>
      <c r="K5" s="252"/>
      <c r="L5" s="252"/>
      <c r="M5" s="524"/>
    </row>
    <row r="6" spans="2:15" ht="11.25" customHeight="1" thickBot="1" x14ac:dyDescent="0.25">
      <c r="B6" s="525"/>
      <c r="C6" s="253"/>
      <c r="D6" s="253"/>
      <c r="E6" s="253"/>
      <c r="F6" s="253"/>
      <c r="G6" s="253"/>
      <c r="H6" s="254"/>
      <c r="I6" s="255"/>
      <c r="J6" s="255"/>
      <c r="K6" s="255"/>
      <c r="L6" s="255"/>
      <c r="M6" s="526"/>
    </row>
    <row r="7" spans="2:15" ht="20.25" customHeight="1" x14ac:dyDescent="0.2">
      <c r="B7" s="1196" t="s">
        <v>760</v>
      </c>
      <c r="C7" s="1197"/>
      <c r="D7" s="1200">
        <v>44041</v>
      </c>
      <c r="E7" s="1200"/>
      <c r="F7" s="1201">
        <v>0.37013888888888885</v>
      </c>
      <c r="G7" s="1201"/>
      <c r="H7" s="1209" t="s">
        <v>1050</v>
      </c>
      <c r="I7" s="1209"/>
      <c r="J7" s="1210" t="s">
        <v>1769</v>
      </c>
      <c r="K7" s="1210"/>
      <c r="L7" s="1210"/>
      <c r="M7" s="1211"/>
    </row>
    <row r="8" spans="2:15" ht="20.25" customHeight="1" x14ac:dyDescent="0.2">
      <c r="B8" s="1118" t="s">
        <v>762</v>
      </c>
      <c r="C8" s="1040"/>
      <c r="D8" s="1214" t="s">
        <v>545</v>
      </c>
      <c r="E8" s="1214"/>
      <c r="F8" s="1214"/>
      <c r="G8" s="1214"/>
      <c r="H8" s="1040" t="s">
        <v>1051</v>
      </c>
      <c r="I8" s="1040"/>
      <c r="J8" s="1207">
        <v>8601</v>
      </c>
      <c r="K8" s="1207"/>
      <c r="L8" s="1207"/>
      <c r="M8" s="1208"/>
    </row>
    <row r="9" spans="2:15" ht="20.25" customHeight="1" x14ac:dyDescent="0.2">
      <c r="B9" s="1118" t="s">
        <v>761</v>
      </c>
      <c r="C9" s="1040"/>
      <c r="D9" s="280" t="s">
        <v>995</v>
      </c>
      <c r="E9" s="279" t="s">
        <v>1230</v>
      </c>
      <c r="F9" s="280" t="s">
        <v>996</v>
      </c>
      <c r="G9" s="279"/>
      <c r="H9" s="1040" t="s">
        <v>1110</v>
      </c>
      <c r="I9" s="1040"/>
      <c r="J9" s="1198" t="s">
        <v>1231</v>
      </c>
      <c r="K9" s="1198"/>
      <c r="L9" s="1198"/>
      <c r="M9" s="1199"/>
    </row>
    <row r="10" spans="2:15" ht="20.25" customHeight="1" thickBot="1" x14ac:dyDescent="0.25">
      <c r="B10" s="1204" t="s">
        <v>763</v>
      </c>
      <c r="C10" s="1205"/>
      <c r="D10" s="281" t="s">
        <v>997</v>
      </c>
      <c r="E10" s="282" t="s">
        <v>505</v>
      </c>
      <c r="F10" s="547" t="s">
        <v>1230</v>
      </c>
      <c r="G10" s="282" t="s">
        <v>506</v>
      </c>
      <c r="H10" s="547"/>
      <c r="I10" s="281" t="s">
        <v>998</v>
      </c>
      <c r="J10" s="1212"/>
      <c r="K10" s="1212"/>
      <c r="L10" s="1212"/>
      <c r="M10" s="1213"/>
    </row>
    <row r="11" spans="2:15" ht="11.25" customHeight="1" thickBot="1" x14ac:dyDescent="0.25">
      <c r="B11" s="259"/>
      <c r="C11" s="259"/>
      <c r="D11" s="259"/>
      <c r="E11" s="548"/>
      <c r="F11" s="548"/>
      <c r="G11" s="548"/>
      <c r="H11" s="259"/>
      <c r="I11" s="259"/>
      <c r="J11" s="259"/>
      <c r="K11" s="548"/>
      <c r="L11" s="548"/>
      <c r="M11" s="548"/>
    </row>
    <row r="12" spans="2:15" ht="15.75" customHeight="1" x14ac:dyDescent="0.2">
      <c r="B12" s="1094" t="s">
        <v>764</v>
      </c>
      <c r="C12" s="1139" t="s">
        <v>765</v>
      </c>
      <c r="D12" s="1139"/>
      <c r="E12" s="1108" t="s">
        <v>1350</v>
      </c>
      <c r="F12" s="1108"/>
      <c r="G12" s="1108"/>
      <c r="H12" s="1108"/>
      <c r="I12" s="1108"/>
      <c r="J12" s="1108"/>
      <c r="K12" s="1108"/>
      <c r="L12" s="1108"/>
      <c r="M12" s="1206"/>
    </row>
    <row r="13" spans="2:15" ht="15.75" customHeight="1" x14ac:dyDescent="0.2">
      <c r="B13" s="1032"/>
      <c r="C13" s="1105" t="s">
        <v>401</v>
      </c>
      <c r="D13" s="1105"/>
      <c r="E13" s="1202" t="s">
        <v>1284</v>
      </c>
      <c r="F13" s="1202"/>
      <c r="G13" s="1202"/>
      <c r="H13" s="1202"/>
      <c r="I13" s="1202"/>
      <c r="J13" s="1202"/>
      <c r="K13" s="1202"/>
      <c r="L13" s="1202"/>
      <c r="M13" s="1203"/>
    </row>
    <row r="14" spans="2:15" ht="15.75" customHeight="1" x14ac:dyDescent="0.2">
      <c r="B14" s="1032"/>
      <c r="C14" s="1105" t="s">
        <v>766</v>
      </c>
      <c r="D14" s="1105"/>
      <c r="E14" s="1202" t="s">
        <v>1297</v>
      </c>
      <c r="F14" s="1202"/>
      <c r="G14" s="1202"/>
      <c r="H14" s="1202"/>
      <c r="I14" s="1202"/>
      <c r="J14" s="1202"/>
      <c r="K14" s="1202"/>
      <c r="L14" s="1202"/>
      <c r="M14" s="1203"/>
      <c r="O14" s="685"/>
    </row>
    <row r="15" spans="2:15" ht="15.75" customHeight="1" x14ac:dyDescent="0.2">
      <c r="B15" s="1032"/>
      <c r="C15" s="1105" t="s">
        <v>767</v>
      </c>
      <c r="D15" s="1105"/>
      <c r="E15" s="1046"/>
      <c r="F15" s="1046"/>
      <c r="G15" s="1046"/>
      <c r="H15" s="1046"/>
      <c r="I15" s="280" t="s">
        <v>768</v>
      </c>
      <c r="J15" s="1046" t="s">
        <v>1285</v>
      </c>
      <c r="K15" s="1046"/>
      <c r="L15" s="1046"/>
      <c r="M15" s="1047"/>
    </row>
    <row r="16" spans="2:15" ht="15.75" customHeight="1" x14ac:dyDescent="0.2">
      <c r="B16" s="1032"/>
      <c r="C16" s="1105" t="s">
        <v>1105</v>
      </c>
      <c r="D16" s="1105"/>
      <c r="E16" s="1046"/>
      <c r="F16" s="1046"/>
      <c r="G16" s="1046"/>
      <c r="H16" s="1046"/>
      <c r="I16" s="1046"/>
      <c r="J16" s="1046"/>
      <c r="K16" s="1046"/>
      <c r="L16" s="1046"/>
      <c r="M16" s="1047"/>
    </row>
    <row r="17" spans="2:13" ht="15.75" customHeight="1" x14ac:dyDescent="0.2">
      <c r="B17" s="1104" t="s">
        <v>769</v>
      </c>
      <c r="C17" s="1105"/>
      <c r="D17" s="1105"/>
      <c r="E17" s="1046" t="s">
        <v>1299</v>
      </c>
      <c r="F17" s="1046"/>
      <c r="G17" s="1046"/>
      <c r="H17" s="1046"/>
      <c r="I17" s="1046"/>
      <c r="J17" s="1046"/>
      <c r="K17" s="1046"/>
      <c r="L17" s="1046"/>
      <c r="M17" s="1047"/>
    </row>
    <row r="18" spans="2:13" ht="15.75" customHeight="1" x14ac:dyDescent="0.2">
      <c r="B18" s="1104" t="s">
        <v>770</v>
      </c>
      <c r="C18" s="1105"/>
      <c r="D18" s="1105"/>
      <c r="E18" s="1046" t="s">
        <v>1276</v>
      </c>
      <c r="F18" s="1046"/>
      <c r="G18" s="1046"/>
      <c r="H18" s="1046"/>
      <c r="I18" s="1046"/>
      <c r="J18" s="1046"/>
      <c r="K18" s="1046"/>
      <c r="L18" s="1046"/>
      <c r="M18" s="1047"/>
    </row>
    <row r="19" spans="2:13" ht="15.75" customHeight="1" x14ac:dyDescent="0.2">
      <c r="B19" s="1104" t="s">
        <v>771</v>
      </c>
      <c r="C19" s="1105"/>
      <c r="D19" s="1105"/>
      <c r="E19" s="1046" t="s">
        <v>1300</v>
      </c>
      <c r="F19" s="1046"/>
      <c r="G19" s="1105" t="s">
        <v>772</v>
      </c>
      <c r="H19" s="1105"/>
      <c r="I19" s="1217" t="s">
        <v>1333</v>
      </c>
      <c r="J19" s="1217"/>
      <c r="K19" s="1217"/>
      <c r="L19" s="1217"/>
      <c r="M19" s="1218"/>
    </row>
    <row r="20" spans="2:13" ht="15.75" customHeight="1" x14ac:dyDescent="0.2">
      <c r="B20" s="1104" t="s">
        <v>773</v>
      </c>
      <c r="C20" s="1105"/>
      <c r="D20" s="1105"/>
      <c r="E20" s="1046" t="s">
        <v>1300</v>
      </c>
      <c r="F20" s="1046"/>
      <c r="G20" s="1105" t="s">
        <v>774</v>
      </c>
      <c r="H20" s="1105"/>
      <c r="I20" s="570" t="s">
        <v>1232</v>
      </c>
      <c r="J20" s="1105" t="s">
        <v>775</v>
      </c>
      <c r="K20" s="1105"/>
      <c r="L20" s="1046" t="s">
        <v>1245</v>
      </c>
      <c r="M20" s="1047"/>
    </row>
    <row r="21" spans="2:13" ht="15.75" customHeight="1" x14ac:dyDescent="0.2">
      <c r="B21" s="1104" t="s">
        <v>776</v>
      </c>
      <c r="C21" s="1105"/>
      <c r="D21" s="1105"/>
      <c r="E21" s="1046" t="s">
        <v>1257</v>
      </c>
      <c r="F21" s="1046"/>
      <c r="G21" s="1046"/>
      <c r="H21" s="1046"/>
      <c r="I21" s="1046"/>
      <c r="J21" s="1046"/>
      <c r="K21" s="280" t="s">
        <v>777</v>
      </c>
      <c r="L21" s="1046" t="s">
        <v>1233</v>
      </c>
      <c r="M21" s="1047"/>
    </row>
    <row r="22" spans="2:13" ht="21.75" customHeight="1" thickBot="1" x14ac:dyDescent="0.25">
      <c r="B22" s="533" t="s">
        <v>804</v>
      </c>
      <c r="C22" s="1089"/>
      <c r="D22" s="1089"/>
      <c r="E22" s="1089"/>
      <c r="F22" s="1089"/>
      <c r="G22" s="1089"/>
      <c r="H22" s="1089"/>
      <c r="I22" s="1089"/>
      <c r="J22" s="1089"/>
      <c r="K22" s="1089"/>
      <c r="L22" s="1089"/>
      <c r="M22" s="1090"/>
    </row>
    <row r="23" spans="2:13" ht="6" customHeight="1" x14ac:dyDescent="0.2">
      <c r="B23" s="256"/>
      <c r="C23" s="256"/>
      <c r="D23" s="256"/>
      <c r="E23" s="256"/>
      <c r="F23" s="256"/>
      <c r="G23" s="256"/>
      <c r="H23" s="256"/>
      <c r="I23" s="257"/>
      <c r="J23" s="257"/>
      <c r="K23" s="257"/>
      <c r="L23" s="257"/>
      <c r="M23" s="257"/>
    </row>
    <row r="24" spans="2:13" ht="14.1" customHeight="1" thickBot="1" x14ac:dyDescent="0.25">
      <c r="B24" s="1048" t="s">
        <v>778</v>
      </c>
      <c r="C24" s="1049"/>
      <c r="D24" s="1049"/>
      <c r="E24" s="1049"/>
      <c r="F24" s="1049"/>
      <c r="G24" s="1049"/>
      <c r="H24" s="1049"/>
      <c r="I24" s="1049"/>
      <c r="J24" s="1049"/>
      <c r="K24" s="1049"/>
      <c r="L24" s="1049"/>
      <c r="M24" s="1049"/>
    </row>
    <row r="25" spans="2:13" ht="14.1" customHeight="1" x14ac:dyDescent="0.2">
      <c r="B25" s="1138" t="s">
        <v>779</v>
      </c>
      <c r="C25" s="1139"/>
      <c r="D25" s="550" t="s">
        <v>780</v>
      </c>
      <c r="E25" s="550" t="s">
        <v>781</v>
      </c>
      <c r="F25" s="550" t="s">
        <v>282</v>
      </c>
      <c r="G25" s="550" t="s">
        <v>782</v>
      </c>
      <c r="H25" s="1139" t="s">
        <v>783</v>
      </c>
      <c r="I25" s="1139"/>
      <c r="J25" s="1215" t="s">
        <v>601</v>
      </c>
      <c r="K25" s="1215"/>
      <c r="L25" s="1215" t="s">
        <v>784</v>
      </c>
      <c r="M25" s="1216"/>
    </row>
    <row r="26" spans="2:13" ht="14.1" customHeight="1" x14ac:dyDescent="0.2">
      <c r="B26" s="1104"/>
      <c r="C26" s="1105"/>
      <c r="D26" s="279"/>
      <c r="E26" s="279"/>
      <c r="F26" s="279" t="s">
        <v>1230</v>
      </c>
      <c r="G26" s="279"/>
      <c r="H26" s="1105"/>
      <c r="I26" s="1105"/>
      <c r="J26" s="1164" t="s">
        <v>1230</v>
      </c>
      <c r="K26" s="1164"/>
      <c r="L26" s="1164"/>
      <c r="M26" s="1165"/>
    </row>
    <row r="27" spans="2:13" ht="14.1" customHeight="1" x14ac:dyDescent="0.2">
      <c r="B27" s="1104" t="s">
        <v>409</v>
      </c>
      <c r="C27" s="1105"/>
      <c r="D27" s="1046" t="s">
        <v>1301</v>
      </c>
      <c r="E27" s="1046"/>
      <c r="F27" s="1046"/>
      <c r="G27" s="1046"/>
      <c r="H27" s="1105" t="s">
        <v>785</v>
      </c>
      <c r="I27" s="1105"/>
      <c r="J27" s="570" t="s">
        <v>1306</v>
      </c>
      <c r="K27" s="1107" t="s">
        <v>786</v>
      </c>
      <c r="L27" s="1107"/>
      <c r="M27" s="609" t="s">
        <v>1307</v>
      </c>
    </row>
    <row r="28" spans="2:13" ht="14.1" customHeight="1" x14ac:dyDescent="0.2">
      <c r="B28" s="1104" t="s">
        <v>411</v>
      </c>
      <c r="C28" s="1105"/>
      <c r="D28" s="1046" t="s">
        <v>1308</v>
      </c>
      <c r="E28" s="1046"/>
      <c r="F28" s="1046"/>
      <c r="G28" s="1046"/>
      <c r="H28" s="1105" t="s">
        <v>787</v>
      </c>
      <c r="I28" s="1105"/>
      <c r="J28" s="1046" t="s">
        <v>1286</v>
      </c>
      <c r="K28" s="1046"/>
      <c r="L28" s="1219" t="s">
        <v>696</v>
      </c>
      <c r="M28" s="1220"/>
    </row>
    <row r="29" spans="2:13" ht="14.1" customHeight="1" x14ac:dyDescent="0.2">
      <c r="B29" s="1104" t="s">
        <v>410</v>
      </c>
      <c r="C29" s="1105"/>
      <c r="D29" s="1046" t="s">
        <v>1302</v>
      </c>
      <c r="E29" s="1046"/>
      <c r="F29" s="1046"/>
      <c r="G29" s="1046"/>
      <c r="H29" s="1105" t="s">
        <v>789</v>
      </c>
      <c r="I29" s="1105"/>
      <c r="J29" s="1202" t="s">
        <v>1235</v>
      </c>
      <c r="K29" s="1202"/>
      <c r="L29" s="1202" t="s">
        <v>1234</v>
      </c>
      <c r="M29" s="1203"/>
    </row>
    <row r="30" spans="2:13" ht="14.1" customHeight="1" x14ac:dyDescent="0.2">
      <c r="B30" s="1104" t="s">
        <v>788</v>
      </c>
      <c r="C30" s="1105"/>
      <c r="D30" s="1046" t="s">
        <v>1303</v>
      </c>
      <c r="E30" s="1046"/>
      <c r="F30" s="1046"/>
      <c r="G30" s="1046"/>
      <c r="H30" s="1040" t="s">
        <v>1186</v>
      </c>
      <c r="I30" s="1040"/>
      <c r="J30" s="1040"/>
      <c r="K30" s="611" t="s">
        <v>1187</v>
      </c>
      <c r="L30" s="581" t="s">
        <v>1188</v>
      </c>
      <c r="M30" s="611" t="s">
        <v>1189</v>
      </c>
    </row>
    <row r="31" spans="2:13" ht="14.1" customHeight="1" x14ac:dyDescent="0.2">
      <c r="B31" s="1104" t="s">
        <v>790</v>
      </c>
      <c r="C31" s="1105"/>
      <c r="D31" s="1046" t="s">
        <v>1304</v>
      </c>
      <c r="E31" s="1046"/>
      <c r="F31" s="1046"/>
      <c r="G31" s="1046"/>
      <c r="H31" s="1040"/>
      <c r="I31" s="1040"/>
      <c r="J31" s="1040"/>
      <c r="K31" s="610" t="s">
        <v>1230</v>
      </c>
      <c r="L31" s="279"/>
      <c r="M31" s="279"/>
    </row>
    <row r="32" spans="2:13" ht="14.1" customHeight="1" x14ac:dyDescent="0.2">
      <c r="B32" s="1104" t="s">
        <v>792</v>
      </c>
      <c r="C32" s="1105"/>
      <c r="D32" s="1046" t="s">
        <v>1277</v>
      </c>
      <c r="E32" s="1046"/>
      <c r="F32" s="1046"/>
      <c r="G32" s="1046"/>
      <c r="H32" s="1105" t="s">
        <v>791</v>
      </c>
      <c r="I32" s="1105"/>
      <c r="J32" s="1105"/>
      <c r="K32" s="1046" t="s">
        <v>1236</v>
      </c>
      <c r="L32" s="1046"/>
      <c r="M32" s="1047"/>
    </row>
    <row r="33" spans="2:13" ht="14.1" customHeight="1" x14ac:dyDescent="0.2">
      <c r="B33" s="1104" t="s">
        <v>793</v>
      </c>
      <c r="C33" s="1105"/>
      <c r="D33" s="1202" t="s">
        <v>13</v>
      </c>
      <c r="E33" s="1202"/>
      <c r="F33" s="1202" t="s">
        <v>1305</v>
      </c>
      <c r="G33" s="1202"/>
      <c r="H33" s="1105" t="s">
        <v>1196</v>
      </c>
      <c r="I33" s="1105"/>
      <c r="J33" s="1105"/>
      <c r="K33" s="1046" t="s">
        <v>1287</v>
      </c>
      <c r="L33" s="1046"/>
      <c r="M33" s="1047"/>
    </row>
    <row r="34" spans="2:13" ht="14.1" customHeight="1" x14ac:dyDescent="0.2">
      <c r="B34" s="1104" t="s">
        <v>795</v>
      </c>
      <c r="C34" s="1105"/>
      <c r="D34" s="549" t="s">
        <v>796</v>
      </c>
      <c r="E34" s="549" t="s">
        <v>797</v>
      </c>
      <c r="F34" s="549" t="s">
        <v>798</v>
      </c>
      <c r="G34" s="549" t="s">
        <v>799</v>
      </c>
      <c r="H34" s="1105" t="s">
        <v>794</v>
      </c>
      <c r="I34" s="1105"/>
      <c r="J34" s="1046" t="s">
        <v>1237</v>
      </c>
      <c r="K34" s="1046"/>
      <c r="L34" s="1046"/>
      <c r="M34" s="1047"/>
    </row>
    <row r="35" spans="2:13" ht="14.1" customHeight="1" x14ac:dyDescent="0.2">
      <c r="B35" s="1104"/>
      <c r="C35" s="1105"/>
      <c r="D35" s="279" t="s">
        <v>1230</v>
      </c>
      <c r="E35" s="279"/>
      <c r="F35" s="279" t="s">
        <v>1230</v>
      </c>
      <c r="G35" s="279"/>
      <c r="H35" s="1105" t="s">
        <v>800</v>
      </c>
      <c r="I35" s="1105"/>
      <c r="J35" s="1162" t="s">
        <v>505</v>
      </c>
      <c r="K35" s="1162"/>
      <c r="L35" s="1162" t="s">
        <v>506</v>
      </c>
      <c r="M35" s="1163"/>
    </row>
    <row r="36" spans="2:13" ht="14.1" customHeight="1" x14ac:dyDescent="0.2">
      <c r="B36" s="1104" t="s">
        <v>801</v>
      </c>
      <c r="C36" s="1105"/>
      <c r="D36" s="1162" t="s">
        <v>802</v>
      </c>
      <c r="E36" s="1162"/>
      <c r="F36" s="549" t="s">
        <v>505</v>
      </c>
      <c r="G36" s="549" t="s">
        <v>506</v>
      </c>
      <c r="H36" s="1105"/>
      <c r="I36" s="1105"/>
      <c r="J36" s="1164"/>
      <c r="K36" s="1164"/>
      <c r="L36" s="1164" t="s">
        <v>1230</v>
      </c>
      <c r="M36" s="1165"/>
    </row>
    <row r="37" spans="2:13" ht="14.1" customHeight="1" x14ac:dyDescent="0.2">
      <c r="B37" s="1104"/>
      <c r="C37" s="1105"/>
      <c r="D37" s="1162"/>
      <c r="E37" s="1162"/>
      <c r="F37" s="279" t="s">
        <v>1230</v>
      </c>
      <c r="G37" s="279"/>
      <c r="H37" s="280" t="s">
        <v>803</v>
      </c>
      <c r="I37" s="280"/>
      <c r="J37" s="1166"/>
      <c r="K37" s="1167"/>
      <c r="L37" s="1167"/>
      <c r="M37" s="1168"/>
    </row>
    <row r="38" spans="2:13" ht="22.5" customHeight="1" thickBot="1" x14ac:dyDescent="0.25">
      <c r="B38" s="533" t="s">
        <v>804</v>
      </c>
      <c r="C38" s="1089"/>
      <c r="D38" s="1089"/>
      <c r="E38" s="1089"/>
      <c r="F38" s="1089"/>
      <c r="G38" s="1089"/>
      <c r="H38" s="1089"/>
      <c r="I38" s="1089"/>
      <c r="J38" s="1089"/>
      <c r="K38" s="1089"/>
      <c r="L38" s="1089"/>
      <c r="M38" s="1090"/>
    </row>
    <row r="39" spans="2:13" ht="9" customHeight="1" x14ac:dyDescent="0.2">
      <c r="B39" s="256"/>
      <c r="C39" s="256"/>
      <c r="D39" s="256"/>
      <c r="E39" s="256"/>
      <c r="F39" s="256"/>
      <c r="G39" s="256"/>
      <c r="H39" s="256"/>
      <c r="I39" s="257"/>
      <c r="J39" s="257"/>
      <c r="K39" s="257"/>
      <c r="L39" s="257"/>
      <c r="M39" s="257"/>
    </row>
    <row r="40" spans="2:13" ht="14.1" customHeight="1" thickBot="1" x14ac:dyDescent="0.25">
      <c r="B40" s="1048" t="s">
        <v>805</v>
      </c>
      <c r="C40" s="1049"/>
      <c r="D40" s="1049"/>
      <c r="E40" s="1049"/>
      <c r="F40" s="1049"/>
      <c r="G40" s="1049"/>
      <c r="H40" s="1049"/>
      <c r="I40" s="1049"/>
      <c r="J40" s="1049"/>
      <c r="K40" s="1049"/>
      <c r="L40" s="1049"/>
      <c r="M40" s="1049"/>
    </row>
    <row r="41" spans="2:13" ht="14.1" customHeight="1" x14ac:dyDescent="0.2">
      <c r="B41" s="1159" t="s">
        <v>806</v>
      </c>
      <c r="C41" s="1160"/>
      <c r="D41" s="1160" t="s">
        <v>9</v>
      </c>
      <c r="E41" s="1160"/>
      <c r="F41" s="1160"/>
      <c r="G41" s="1160"/>
      <c r="H41" s="1160" t="s">
        <v>10</v>
      </c>
      <c r="I41" s="1160"/>
      <c r="J41" s="1160"/>
      <c r="K41" s="1160"/>
      <c r="L41" s="1160" t="s">
        <v>807</v>
      </c>
      <c r="M41" s="1161"/>
    </row>
    <row r="42" spans="2:13" ht="14.1" customHeight="1" x14ac:dyDescent="0.2">
      <c r="B42" s="1104" t="s">
        <v>409</v>
      </c>
      <c r="C42" s="1105"/>
      <c r="D42" s="1046" t="s">
        <v>1288</v>
      </c>
      <c r="E42" s="1046"/>
      <c r="F42" s="1046"/>
      <c r="G42" s="1046"/>
      <c r="H42" s="1046" t="s">
        <v>1258</v>
      </c>
      <c r="I42" s="1046"/>
      <c r="J42" s="1046"/>
      <c r="K42" s="1046"/>
      <c r="L42" s="1046"/>
      <c r="M42" s="1047"/>
    </row>
    <row r="43" spans="2:13" ht="14.1" customHeight="1" x14ac:dyDescent="0.2">
      <c r="B43" s="1104" t="s">
        <v>411</v>
      </c>
      <c r="C43" s="1105"/>
      <c r="D43" s="1046" t="s">
        <v>1289</v>
      </c>
      <c r="E43" s="1046"/>
      <c r="F43" s="1046"/>
      <c r="G43" s="1046"/>
      <c r="H43" s="1046" t="s">
        <v>1290</v>
      </c>
      <c r="I43" s="1046"/>
      <c r="J43" s="1046"/>
      <c r="K43" s="1046"/>
      <c r="L43" s="1046"/>
      <c r="M43" s="1047"/>
    </row>
    <row r="44" spans="2:13" ht="14.1" customHeight="1" x14ac:dyDescent="0.2">
      <c r="B44" s="1104" t="s">
        <v>415</v>
      </c>
      <c r="C44" s="1105"/>
      <c r="D44" s="1046" t="s">
        <v>1277</v>
      </c>
      <c r="E44" s="1046"/>
      <c r="F44" s="1046"/>
      <c r="G44" s="1046"/>
      <c r="H44" s="1046" t="s">
        <v>1277</v>
      </c>
      <c r="I44" s="1046"/>
      <c r="J44" s="1046"/>
      <c r="K44" s="1046"/>
      <c r="L44" s="1046"/>
      <c r="M44" s="1047"/>
    </row>
    <row r="45" spans="2:13" ht="14.1" customHeight="1" x14ac:dyDescent="0.2">
      <c r="B45" s="1104" t="s">
        <v>426</v>
      </c>
      <c r="C45" s="1105"/>
      <c r="D45" s="1158">
        <v>150</v>
      </c>
      <c r="E45" s="1158"/>
      <c r="F45" s="1158">
        <v>5</v>
      </c>
      <c r="G45" s="1158"/>
      <c r="H45" s="1158">
        <v>20000</v>
      </c>
      <c r="I45" s="1158"/>
      <c r="J45" s="1158">
        <v>100</v>
      </c>
      <c r="K45" s="1158"/>
      <c r="L45" s="1046"/>
      <c r="M45" s="1047"/>
    </row>
    <row r="46" spans="2:13" ht="14.1" customHeight="1" x14ac:dyDescent="0.2">
      <c r="B46" s="1104" t="s">
        <v>427</v>
      </c>
      <c r="C46" s="1105"/>
      <c r="D46" s="1046" t="s">
        <v>14</v>
      </c>
      <c r="E46" s="1046"/>
      <c r="F46" s="1046"/>
      <c r="G46" s="1046"/>
      <c r="H46" s="1046" t="s">
        <v>1259</v>
      </c>
      <c r="I46" s="1046"/>
      <c r="J46" s="1046"/>
      <c r="K46" s="1046"/>
      <c r="L46" s="1046"/>
      <c r="M46" s="1047"/>
    </row>
    <row r="47" spans="2:13" ht="14.1" customHeight="1" x14ac:dyDescent="0.2">
      <c r="B47" s="1104" t="s">
        <v>808</v>
      </c>
      <c r="C47" s="1105"/>
      <c r="D47" s="1158">
        <v>5</v>
      </c>
      <c r="E47" s="1158"/>
      <c r="F47" s="1158"/>
      <c r="G47" s="1158"/>
      <c r="H47" s="1158">
        <v>3</v>
      </c>
      <c r="I47" s="1158"/>
      <c r="J47" s="1158"/>
      <c r="K47" s="1158"/>
      <c r="L47" s="1046"/>
      <c r="M47" s="1047"/>
    </row>
    <row r="48" spans="2:13" ht="14.1" customHeight="1" x14ac:dyDescent="0.2">
      <c r="B48" s="1156" t="s">
        <v>809</v>
      </c>
      <c r="C48" s="1157"/>
      <c r="D48" s="1046" t="s">
        <v>1291</v>
      </c>
      <c r="E48" s="1046"/>
      <c r="F48" s="1046"/>
      <c r="G48" s="1046"/>
      <c r="H48" s="1046" t="s">
        <v>1294</v>
      </c>
      <c r="I48" s="1046"/>
      <c r="J48" s="1046"/>
      <c r="K48" s="1046"/>
      <c r="L48" s="1046"/>
      <c r="M48" s="1047"/>
    </row>
    <row r="49" spans="2:13" ht="14.1" customHeight="1" x14ac:dyDescent="0.2">
      <c r="B49" s="1104" t="s">
        <v>810</v>
      </c>
      <c r="C49" s="1105"/>
      <c r="D49" s="1046"/>
      <c r="E49" s="1046"/>
      <c r="F49" s="1046"/>
      <c r="G49" s="1046"/>
      <c r="H49" s="1046"/>
      <c r="I49" s="1046"/>
      <c r="J49" s="1046"/>
      <c r="K49" s="1046"/>
      <c r="L49" s="1046"/>
      <c r="M49" s="1047"/>
    </row>
    <row r="50" spans="2:13" ht="14.1" customHeight="1" x14ac:dyDescent="0.2">
      <c r="B50" s="1104" t="s">
        <v>811</v>
      </c>
      <c r="C50" s="1105"/>
      <c r="D50" s="1046"/>
      <c r="E50" s="1046"/>
      <c r="F50" s="1046"/>
      <c r="G50" s="1046"/>
      <c r="H50" s="1046"/>
      <c r="I50" s="1046"/>
      <c r="J50" s="1046"/>
      <c r="K50" s="1046"/>
      <c r="L50" s="1046"/>
      <c r="M50" s="1047"/>
    </row>
    <row r="51" spans="2:13" ht="14.1" customHeight="1" x14ac:dyDescent="0.2">
      <c r="B51" s="1104" t="s">
        <v>812</v>
      </c>
      <c r="C51" s="1105"/>
      <c r="D51" s="1046"/>
      <c r="E51" s="1046"/>
      <c r="F51" s="1046"/>
      <c r="G51" s="1046"/>
      <c r="H51" s="1046"/>
      <c r="I51" s="1046"/>
      <c r="J51" s="1046"/>
      <c r="K51" s="1046"/>
      <c r="L51" s="1046"/>
      <c r="M51" s="1047"/>
    </row>
    <row r="52" spans="2:13" ht="14.1" customHeight="1" x14ac:dyDescent="0.2">
      <c r="B52" s="1156" t="s">
        <v>813</v>
      </c>
      <c r="C52" s="1157"/>
      <c r="D52" s="1046" t="s">
        <v>1292</v>
      </c>
      <c r="E52" s="1046"/>
      <c r="F52" s="1046"/>
      <c r="G52" s="1046"/>
      <c r="H52" s="1046" t="s">
        <v>1295</v>
      </c>
      <c r="I52" s="1046"/>
      <c r="J52" s="1046"/>
      <c r="K52" s="1046"/>
      <c r="L52" s="1046"/>
      <c r="M52" s="1047"/>
    </row>
    <row r="53" spans="2:13" ht="14.1" customHeight="1" x14ac:dyDescent="0.2">
      <c r="B53" s="1104" t="s">
        <v>810</v>
      </c>
      <c r="C53" s="1105"/>
      <c r="D53" s="1046"/>
      <c r="E53" s="1046"/>
      <c r="F53" s="1046"/>
      <c r="G53" s="1046"/>
      <c r="H53" s="1046"/>
      <c r="I53" s="1046"/>
      <c r="J53" s="1046"/>
      <c r="K53" s="1046"/>
      <c r="L53" s="1046"/>
      <c r="M53" s="1047"/>
    </row>
    <row r="54" spans="2:13" ht="14.1" customHeight="1" x14ac:dyDescent="0.2">
      <c r="B54" s="1104" t="s">
        <v>811</v>
      </c>
      <c r="C54" s="1105"/>
      <c r="D54" s="1046"/>
      <c r="E54" s="1046"/>
      <c r="F54" s="1046"/>
      <c r="G54" s="1046"/>
      <c r="H54" s="1046"/>
      <c r="I54" s="1046"/>
      <c r="J54" s="1046"/>
      <c r="K54" s="1046"/>
      <c r="L54" s="1046"/>
      <c r="M54" s="1047"/>
    </row>
    <row r="55" spans="2:13" ht="14.1" customHeight="1" x14ac:dyDescent="0.2">
      <c r="B55" s="1104" t="s">
        <v>812</v>
      </c>
      <c r="C55" s="1105"/>
      <c r="D55" s="1046"/>
      <c r="E55" s="1046"/>
      <c r="F55" s="1046"/>
      <c r="G55" s="1046"/>
      <c r="H55" s="1046"/>
      <c r="I55" s="1046"/>
      <c r="J55" s="1046"/>
      <c r="K55" s="1046"/>
      <c r="L55" s="1046"/>
      <c r="M55" s="1047"/>
    </row>
    <row r="56" spans="2:13" ht="14.1" customHeight="1" x14ac:dyDescent="0.2">
      <c r="B56" s="1156" t="s">
        <v>814</v>
      </c>
      <c r="C56" s="1157"/>
      <c r="D56" s="1046" t="s">
        <v>1293</v>
      </c>
      <c r="E56" s="1046"/>
      <c r="F56" s="1046"/>
      <c r="G56" s="1046"/>
      <c r="H56" s="1046" t="s">
        <v>1296</v>
      </c>
      <c r="I56" s="1046"/>
      <c r="J56" s="1046"/>
      <c r="K56" s="1046"/>
      <c r="L56" s="1046"/>
      <c r="M56" s="1047"/>
    </row>
    <row r="57" spans="2:13" ht="14.1" customHeight="1" x14ac:dyDescent="0.2">
      <c r="B57" s="1104" t="s">
        <v>810</v>
      </c>
      <c r="C57" s="1105"/>
      <c r="D57" s="1046"/>
      <c r="E57" s="1046"/>
      <c r="F57" s="1046"/>
      <c r="G57" s="1046"/>
      <c r="H57" s="1046"/>
      <c r="I57" s="1046"/>
      <c r="J57" s="1046"/>
      <c r="K57" s="1046"/>
      <c r="L57" s="1046"/>
      <c r="M57" s="1047"/>
    </row>
    <row r="58" spans="2:13" ht="14.1" customHeight="1" x14ac:dyDescent="0.2">
      <c r="B58" s="1104" t="s">
        <v>811</v>
      </c>
      <c r="C58" s="1105"/>
      <c r="D58" s="1046"/>
      <c r="E58" s="1046"/>
      <c r="F58" s="1046"/>
      <c r="G58" s="1046"/>
      <c r="H58" s="1046"/>
      <c r="I58" s="1046"/>
      <c r="J58" s="1046"/>
      <c r="K58" s="1046"/>
      <c r="L58" s="1046"/>
      <c r="M58" s="1047"/>
    </row>
    <row r="59" spans="2:13" ht="14.1" customHeight="1" x14ac:dyDescent="0.2">
      <c r="B59" s="1104" t="s">
        <v>812</v>
      </c>
      <c r="C59" s="1105"/>
      <c r="D59" s="1046"/>
      <c r="E59" s="1046"/>
      <c r="F59" s="1046"/>
      <c r="G59" s="1046"/>
      <c r="H59" s="1046"/>
      <c r="I59" s="1046"/>
      <c r="J59" s="1046"/>
      <c r="K59" s="1046"/>
      <c r="L59" s="1046"/>
      <c r="M59" s="1047"/>
    </row>
    <row r="60" spans="2:13" ht="14.1" customHeight="1" x14ac:dyDescent="0.2">
      <c r="B60" s="530" t="s">
        <v>993</v>
      </c>
      <c r="C60" s="1040" t="s">
        <v>802</v>
      </c>
      <c r="D60" s="549" t="s">
        <v>505</v>
      </c>
      <c r="E60" s="279" t="s">
        <v>1230</v>
      </c>
      <c r="F60" s="549" t="s">
        <v>506</v>
      </c>
      <c r="G60" s="279"/>
      <c r="H60" s="1105" t="s">
        <v>815</v>
      </c>
      <c r="I60" s="1105"/>
      <c r="J60" s="1101"/>
      <c r="K60" s="1101"/>
      <c r="L60" s="1101"/>
      <c r="M60" s="1102"/>
    </row>
    <row r="61" spans="2:13" ht="14.1" customHeight="1" x14ac:dyDescent="0.2">
      <c r="B61" s="530" t="s">
        <v>994</v>
      </c>
      <c r="C61" s="1040"/>
      <c r="D61" s="549" t="s">
        <v>505</v>
      </c>
      <c r="E61" s="279"/>
      <c r="F61" s="549" t="s">
        <v>506</v>
      </c>
      <c r="G61" s="279" t="s">
        <v>1230</v>
      </c>
      <c r="H61" s="1105" t="s">
        <v>816</v>
      </c>
      <c r="I61" s="1105"/>
      <c r="J61" s="1154" t="s">
        <v>1309</v>
      </c>
      <c r="K61" s="1154"/>
      <c r="L61" s="1154"/>
      <c r="M61" s="1155"/>
    </row>
    <row r="62" spans="2:13" ht="25.5" customHeight="1" thickBot="1" x14ac:dyDescent="0.25">
      <c r="B62" s="533" t="s">
        <v>804</v>
      </c>
      <c r="C62" s="1089"/>
      <c r="D62" s="1089"/>
      <c r="E62" s="1089"/>
      <c r="F62" s="1089"/>
      <c r="G62" s="1089"/>
      <c r="H62" s="1089"/>
      <c r="I62" s="1089"/>
      <c r="J62" s="1089"/>
      <c r="K62" s="1089"/>
      <c r="L62" s="1089"/>
      <c r="M62" s="1090"/>
    </row>
    <row r="63" spans="2:13" ht="7.5" customHeight="1" x14ac:dyDescent="0.2">
      <c r="B63" s="551"/>
      <c r="C63" s="551"/>
      <c r="D63" s="551"/>
      <c r="E63" s="551"/>
      <c r="F63" s="551"/>
      <c r="G63" s="551"/>
      <c r="H63" s="551"/>
      <c r="I63" s="551"/>
      <c r="J63" s="551"/>
      <c r="K63" s="551"/>
      <c r="L63" s="551"/>
      <c r="M63" s="551"/>
    </row>
    <row r="64" spans="2:13" ht="14.1" customHeight="1" thickBot="1" x14ac:dyDescent="0.25">
      <c r="B64" s="1048" t="s">
        <v>817</v>
      </c>
      <c r="C64" s="1049"/>
      <c r="D64" s="1049"/>
      <c r="E64" s="1049"/>
      <c r="F64" s="1049"/>
      <c r="G64" s="1049"/>
      <c r="H64" s="1049"/>
      <c r="I64" s="1049"/>
      <c r="J64" s="1049"/>
      <c r="K64" s="1049"/>
      <c r="L64" s="1049"/>
      <c r="M64" s="1049"/>
    </row>
    <row r="65" spans="2:13" ht="14.25" customHeight="1" x14ac:dyDescent="0.2">
      <c r="B65" s="1136" t="s">
        <v>818</v>
      </c>
      <c r="C65" s="550" t="s">
        <v>1118</v>
      </c>
      <c r="D65" s="550" t="s">
        <v>1117</v>
      </c>
      <c r="E65" s="550" t="s">
        <v>780</v>
      </c>
      <c r="F65" s="550" t="s">
        <v>782</v>
      </c>
      <c r="G65" s="550" t="s">
        <v>819</v>
      </c>
      <c r="H65" s="550" t="s">
        <v>820</v>
      </c>
      <c r="I65" s="1146" t="s">
        <v>1179</v>
      </c>
      <c r="J65" s="1146"/>
      <c r="K65" s="1146"/>
      <c r="L65" s="1148">
        <v>1</v>
      </c>
      <c r="M65" s="1149"/>
    </row>
    <row r="66" spans="2:13" ht="14.25" customHeight="1" x14ac:dyDescent="0.2">
      <c r="B66" s="1118"/>
      <c r="C66" s="279"/>
      <c r="D66" s="279" t="s">
        <v>1230</v>
      </c>
      <c r="E66" s="279"/>
      <c r="F66" s="279"/>
      <c r="G66" s="279"/>
      <c r="H66" s="279" t="s">
        <v>1230</v>
      </c>
      <c r="I66" s="1147"/>
      <c r="J66" s="1147"/>
      <c r="K66" s="1147"/>
      <c r="L66" s="1150"/>
      <c r="M66" s="1151"/>
    </row>
    <row r="67" spans="2:13" ht="14.25" customHeight="1" x14ac:dyDescent="0.2">
      <c r="B67" s="1104" t="s">
        <v>821</v>
      </c>
      <c r="C67" s="1105"/>
      <c r="D67" s="1105"/>
      <c r="E67" s="1105"/>
      <c r="F67" s="549" t="s">
        <v>822</v>
      </c>
      <c r="G67" s="549" t="s">
        <v>823</v>
      </c>
      <c r="H67" s="549" t="s">
        <v>824</v>
      </c>
      <c r="I67" s="1105" t="s">
        <v>825</v>
      </c>
      <c r="J67" s="1105"/>
      <c r="K67" s="1105"/>
      <c r="L67" s="549" t="s">
        <v>826</v>
      </c>
      <c r="M67" s="567" t="s">
        <v>827</v>
      </c>
    </row>
    <row r="68" spans="2:13" ht="14.25" customHeight="1" x14ac:dyDescent="0.2">
      <c r="B68" s="1104"/>
      <c r="C68" s="1105"/>
      <c r="D68" s="1105"/>
      <c r="E68" s="1105"/>
      <c r="F68" s="279"/>
      <c r="G68" s="279"/>
      <c r="H68" s="279" t="s">
        <v>1230</v>
      </c>
      <c r="I68" s="1105"/>
      <c r="J68" s="1105"/>
      <c r="K68" s="1105"/>
      <c r="L68" s="279" t="s">
        <v>1230</v>
      </c>
      <c r="M68" s="571"/>
    </row>
    <row r="69" spans="2:13" ht="14.1" customHeight="1" x14ac:dyDescent="0.2">
      <c r="B69" s="1104" t="s">
        <v>404</v>
      </c>
      <c r="C69" s="1105"/>
      <c r="D69" s="1105"/>
      <c r="E69" s="1105"/>
      <c r="F69" s="549" t="s">
        <v>828</v>
      </c>
      <c r="G69" s="549" t="s">
        <v>829</v>
      </c>
      <c r="H69" s="549" t="s">
        <v>830</v>
      </c>
      <c r="I69" s="1105" t="s">
        <v>831</v>
      </c>
      <c r="J69" s="1105"/>
      <c r="K69" s="1105"/>
      <c r="L69" s="1152" t="s">
        <v>1298</v>
      </c>
      <c r="M69" s="1153"/>
    </row>
    <row r="70" spans="2:13" ht="14.1" customHeight="1" x14ac:dyDescent="0.2">
      <c r="B70" s="1104"/>
      <c r="C70" s="1105"/>
      <c r="D70" s="1105"/>
      <c r="E70" s="1105"/>
      <c r="F70" s="279"/>
      <c r="G70" s="279" t="s">
        <v>1230</v>
      </c>
      <c r="H70" s="279"/>
      <c r="I70" s="1105"/>
      <c r="J70" s="1105"/>
      <c r="K70" s="1105"/>
      <c r="L70" s="1152"/>
      <c r="M70" s="1153"/>
    </row>
    <row r="71" spans="2:13" ht="14.1" customHeight="1" x14ac:dyDescent="0.2">
      <c r="B71" s="1104" t="s">
        <v>832</v>
      </c>
      <c r="C71" s="1105"/>
      <c r="D71" s="1123" t="s">
        <v>1238</v>
      </c>
      <c r="E71" s="1123"/>
      <c r="F71" s="1123"/>
      <c r="G71" s="1123"/>
      <c r="H71" s="1123"/>
      <c r="I71" s="1123"/>
      <c r="J71" s="1123"/>
      <c r="K71" s="1123"/>
      <c r="L71" s="1123"/>
      <c r="M71" s="1145"/>
    </row>
    <row r="72" spans="2:13" ht="14.1" customHeight="1" x14ac:dyDescent="0.2">
      <c r="B72" s="1104" t="s">
        <v>833</v>
      </c>
      <c r="C72" s="1105"/>
      <c r="D72" s="1123" t="s">
        <v>1260</v>
      </c>
      <c r="E72" s="1123"/>
      <c r="F72" s="1123"/>
      <c r="G72" s="1123"/>
      <c r="H72" s="1123"/>
      <c r="I72" s="1123"/>
      <c r="J72" s="1123"/>
      <c r="K72" s="1123"/>
      <c r="L72" s="1123"/>
      <c r="M72" s="1145"/>
    </row>
    <row r="73" spans="2:13" ht="14.1" customHeight="1" x14ac:dyDescent="0.2">
      <c r="B73" s="1104" t="s">
        <v>834</v>
      </c>
      <c r="C73" s="1105"/>
      <c r="D73" s="1105"/>
      <c r="E73" s="549" t="s">
        <v>505</v>
      </c>
      <c r="F73" s="549" t="s">
        <v>506</v>
      </c>
      <c r="G73" s="1105" t="s">
        <v>835</v>
      </c>
      <c r="H73" s="1105"/>
      <c r="I73" s="1105"/>
      <c r="J73" s="1105"/>
      <c r="K73" s="1105"/>
      <c r="L73" s="549" t="s">
        <v>505</v>
      </c>
      <c r="M73" s="567" t="s">
        <v>506</v>
      </c>
    </row>
    <row r="74" spans="2:13" ht="14.1" customHeight="1" x14ac:dyDescent="0.2">
      <c r="B74" s="1104"/>
      <c r="C74" s="1105"/>
      <c r="D74" s="1105"/>
      <c r="E74" s="279" t="s">
        <v>1230</v>
      </c>
      <c r="F74" s="279"/>
      <c r="G74" s="1105"/>
      <c r="H74" s="1105"/>
      <c r="I74" s="1105"/>
      <c r="J74" s="1105"/>
      <c r="K74" s="1105"/>
      <c r="L74" s="279" t="s">
        <v>1230</v>
      </c>
      <c r="M74" s="571"/>
    </row>
    <row r="75" spans="2:13" ht="26.25" customHeight="1" thickBot="1" x14ac:dyDescent="0.25">
      <c r="B75" s="533" t="s">
        <v>804</v>
      </c>
      <c r="C75" s="1089"/>
      <c r="D75" s="1089"/>
      <c r="E75" s="1089"/>
      <c r="F75" s="1089"/>
      <c r="G75" s="1089"/>
      <c r="H75" s="1089"/>
      <c r="I75" s="1089"/>
      <c r="J75" s="1089"/>
      <c r="K75" s="1089"/>
      <c r="L75" s="1089"/>
      <c r="M75" s="1090"/>
    </row>
    <row r="76" spans="2:13" ht="5.25" customHeight="1" x14ac:dyDescent="0.2">
      <c r="B76" s="258"/>
      <c r="C76" s="258"/>
      <c r="D76" s="258"/>
      <c r="E76" s="259"/>
      <c r="F76" s="259"/>
      <c r="G76" s="259"/>
      <c r="H76" s="259"/>
      <c r="I76" s="259"/>
      <c r="J76" s="259"/>
      <c r="K76" s="259"/>
      <c r="L76" s="259"/>
      <c r="M76" s="259"/>
    </row>
    <row r="77" spans="2:13" ht="14.1" customHeight="1" thickBot="1" x14ac:dyDescent="0.25">
      <c r="B77" s="1048" t="s">
        <v>836</v>
      </c>
      <c r="C77" s="1049"/>
      <c r="D77" s="1049"/>
      <c r="E77" s="1049"/>
      <c r="F77" s="1049"/>
      <c r="G77" s="1049"/>
      <c r="H77" s="1049"/>
      <c r="I77" s="1049"/>
      <c r="J77" s="1049"/>
      <c r="K77" s="1049"/>
      <c r="L77" s="1049"/>
      <c r="M77" s="1049"/>
    </row>
    <row r="78" spans="2:13" ht="14.1" customHeight="1" x14ac:dyDescent="0.2">
      <c r="B78" s="554" t="s">
        <v>1048</v>
      </c>
      <c r="C78" s="573" t="s">
        <v>685</v>
      </c>
      <c r="D78" s="1223" t="str">
        <f>IF(C78&lt;&gt;"",CONCATENATE(LOOKUP(C78,TABELLE!B145:B158,TABELLE!C145:C158)," / ",LOOKUP(C78,TABELLE!B145:B158,TABELLE!D145:D158)," / ",LOOKUP(C78,TABELLE!B145:B158,TABELLE!E145:E158)),"")</f>
        <v>APPLIED PRECISION / WS2320A / 1352010366</v>
      </c>
      <c r="E78" s="1223"/>
      <c r="F78" s="1223"/>
      <c r="G78" s="1223"/>
      <c r="H78" s="1223"/>
      <c r="I78" s="1223"/>
      <c r="J78" s="1224" t="s">
        <v>1229</v>
      </c>
      <c r="K78" s="1224"/>
      <c r="L78" s="624" t="s">
        <v>505</v>
      </c>
      <c r="M78" s="595" t="s">
        <v>1230</v>
      </c>
    </row>
    <row r="79" spans="2:13" ht="14.1" customHeight="1" x14ac:dyDescent="0.2">
      <c r="B79" s="620" t="s">
        <v>1047</v>
      </c>
      <c r="C79" s="1046" t="s">
        <v>1239</v>
      </c>
      <c r="D79" s="1046"/>
      <c r="E79" s="1046"/>
      <c r="F79" s="1046"/>
      <c r="G79" s="1046"/>
      <c r="H79" s="1046"/>
      <c r="I79" s="1046"/>
      <c r="J79" s="1225"/>
      <c r="K79" s="1225"/>
      <c r="L79" s="623" t="s">
        <v>506</v>
      </c>
      <c r="M79" s="571"/>
    </row>
    <row r="80" spans="2:13" ht="14.1" customHeight="1" x14ac:dyDescent="0.2">
      <c r="B80" s="620" t="s">
        <v>837</v>
      </c>
      <c r="C80" s="1046" t="s">
        <v>1240</v>
      </c>
      <c r="D80" s="1046"/>
      <c r="E80" s="1046"/>
      <c r="F80" s="1046"/>
      <c r="G80" s="1046"/>
      <c r="H80" s="1046"/>
      <c r="I80" s="1046"/>
      <c r="J80" s="552" t="s">
        <v>838</v>
      </c>
      <c r="K80" s="572">
        <v>17.600000000000001</v>
      </c>
      <c r="L80" s="553" t="s">
        <v>839</v>
      </c>
      <c r="M80" s="702"/>
    </row>
    <row r="81" spans="2:13" ht="25.5" customHeight="1" thickBot="1" x14ac:dyDescent="0.25">
      <c r="B81" s="619" t="s">
        <v>804</v>
      </c>
      <c r="C81" s="1089"/>
      <c r="D81" s="1089"/>
      <c r="E81" s="1089"/>
      <c r="F81" s="1089"/>
      <c r="G81" s="1089"/>
      <c r="H81" s="1089"/>
      <c r="I81" s="1089"/>
      <c r="J81" s="1089"/>
      <c r="K81" s="1089"/>
      <c r="L81" s="1089"/>
      <c r="M81" s="1090"/>
    </row>
    <row r="82" spans="2:13" ht="6" customHeight="1" x14ac:dyDescent="0.2">
      <c r="B82" s="258"/>
      <c r="C82" s="258"/>
      <c r="D82" s="258"/>
      <c r="E82" s="258"/>
      <c r="F82" s="258"/>
      <c r="G82" s="258"/>
      <c r="H82" s="258"/>
      <c r="I82" s="258"/>
      <c r="J82" s="258"/>
      <c r="K82" s="258"/>
      <c r="L82" s="258"/>
      <c r="M82" s="258"/>
    </row>
    <row r="83" spans="2:13" ht="14.1" customHeight="1" thickBot="1" x14ac:dyDescent="0.25">
      <c r="B83" s="1048" t="s">
        <v>840</v>
      </c>
      <c r="C83" s="1049"/>
      <c r="D83" s="1049"/>
      <c r="E83" s="1049"/>
      <c r="F83" s="1049"/>
      <c r="G83" s="1049"/>
      <c r="H83" s="1049"/>
      <c r="I83" s="1049"/>
      <c r="J83" s="1049"/>
      <c r="K83" s="1049"/>
      <c r="L83" s="1049"/>
      <c r="M83" s="1049"/>
    </row>
    <row r="84" spans="2:13" ht="14.1" customHeight="1" x14ac:dyDescent="0.2">
      <c r="B84" s="1138" t="s">
        <v>841</v>
      </c>
      <c r="C84" s="1139"/>
      <c r="D84" s="1139"/>
      <c r="E84" s="558" t="s">
        <v>842</v>
      </c>
      <c r="F84" s="559" t="s">
        <v>843</v>
      </c>
      <c r="G84" s="559" t="s">
        <v>844</v>
      </c>
      <c r="H84" s="1139" t="s">
        <v>845</v>
      </c>
      <c r="I84" s="1139"/>
      <c r="J84" s="1139"/>
      <c r="K84" s="1139"/>
      <c r="L84" s="559" t="s">
        <v>843</v>
      </c>
      <c r="M84" s="546" t="s">
        <v>844</v>
      </c>
    </row>
    <row r="85" spans="2:13" ht="14.1" customHeight="1" x14ac:dyDescent="0.2">
      <c r="B85" s="1104"/>
      <c r="C85" s="1105"/>
      <c r="D85" s="1105"/>
      <c r="E85" s="279"/>
      <c r="F85" s="279" t="s">
        <v>1230</v>
      </c>
      <c r="G85" s="279"/>
      <c r="H85" s="1105"/>
      <c r="I85" s="1105"/>
      <c r="J85" s="1105"/>
      <c r="K85" s="1105"/>
      <c r="L85" s="279" t="s">
        <v>1230</v>
      </c>
      <c r="M85" s="571"/>
    </row>
    <row r="86" spans="2:13" ht="14.1" customHeight="1" x14ac:dyDescent="0.2">
      <c r="B86" s="1104" t="s">
        <v>846</v>
      </c>
      <c r="C86" s="1105"/>
      <c r="D86" s="1105"/>
      <c r="E86" s="555" t="s">
        <v>842</v>
      </c>
      <c r="F86" s="280" t="s">
        <v>843</v>
      </c>
      <c r="G86" s="280" t="s">
        <v>844</v>
      </c>
      <c r="H86" s="1105" t="s">
        <v>1103</v>
      </c>
      <c r="I86" s="1105"/>
      <c r="J86" s="1105"/>
      <c r="K86" s="1105"/>
      <c r="L86" s="280" t="s">
        <v>843</v>
      </c>
      <c r="M86" s="529" t="s">
        <v>844</v>
      </c>
    </row>
    <row r="87" spans="2:13" ht="14.1" customHeight="1" x14ac:dyDescent="0.2">
      <c r="B87" s="1104"/>
      <c r="C87" s="1105"/>
      <c r="D87" s="1105"/>
      <c r="E87" s="279"/>
      <c r="F87" s="279" t="s">
        <v>1230</v>
      </c>
      <c r="G87" s="279"/>
      <c r="H87" s="1105"/>
      <c r="I87" s="1105"/>
      <c r="J87" s="1105"/>
      <c r="K87" s="1105"/>
      <c r="L87" s="279" t="s">
        <v>1230</v>
      </c>
      <c r="M87" s="571"/>
    </row>
    <row r="88" spans="2:13" ht="24" customHeight="1" thickBot="1" x14ac:dyDescent="0.25">
      <c r="B88" s="533" t="s">
        <v>804</v>
      </c>
      <c r="C88" s="1089"/>
      <c r="D88" s="1089"/>
      <c r="E88" s="1089"/>
      <c r="F88" s="1089"/>
      <c r="G88" s="1089"/>
      <c r="H88" s="1089"/>
      <c r="I88" s="1089"/>
      <c r="J88" s="1089"/>
      <c r="K88" s="1089"/>
      <c r="L88" s="1089"/>
      <c r="M88" s="1090"/>
    </row>
    <row r="89" spans="2:13" ht="6.75" customHeight="1" x14ac:dyDescent="0.2">
      <c r="H89" s="260"/>
      <c r="I89" s="261"/>
      <c r="J89" s="261"/>
      <c r="K89" s="261"/>
      <c r="L89" s="261"/>
      <c r="M89" s="261"/>
    </row>
    <row r="90" spans="2:13" ht="14.1" customHeight="1" thickBot="1" x14ac:dyDescent="0.25">
      <c r="B90" s="1048" t="s">
        <v>847</v>
      </c>
      <c r="C90" s="1049"/>
      <c r="D90" s="1049"/>
      <c r="E90" s="1049"/>
      <c r="F90" s="1049"/>
      <c r="G90" s="1049"/>
      <c r="H90" s="1049"/>
      <c r="I90" s="1049"/>
      <c r="J90" s="1049"/>
      <c r="K90" s="1049"/>
      <c r="L90" s="1049"/>
      <c r="M90" s="1049"/>
    </row>
    <row r="91" spans="2:13" ht="14.1" customHeight="1" x14ac:dyDescent="0.2">
      <c r="B91" s="1143" t="s">
        <v>1004</v>
      </c>
      <c r="C91" s="560" t="s">
        <v>1150</v>
      </c>
      <c r="D91" s="577">
        <v>44041</v>
      </c>
      <c r="E91" s="561" t="s">
        <v>1003</v>
      </c>
      <c r="F91" s="578" t="s">
        <v>520</v>
      </c>
      <c r="G91" s="578" t="s">
        <v>521</v>
      </c>
      <c r="H91" s="578" t="s">
        <v>606</v>
      </c>
      <c r="I91" s="578" t="s">
        <v>607</v>
      </c>
      <c r="J91" s="578" t="s">
        <v>608</v>
      </c>
      <c r="K91" s="578" t="s">
        <v>609</v>
      </c>
      <c r="L91" s="578" t="s">
        <v>610</v>
      </c>
      <c r="M91" s="579" t="s">
        <v>611</v>
      </c>
    </row>
    <row r="92" spans="2:13" ht="14.1" customHeight="1" x14ac:dyDescent="0.2">
      <c r="B92" s="1144"/>
      <c r="C92" s="556" t="s">
        <v>1151</v>
      </c>
      <c r="D92" s="575">
        <v>0.39097222222222222</v>
      </c>
      <c r="E92" s="557" t="s">
        <v>848</v>
      </c>
      <c r="F92" s="576" t="s">
        <v>1310</v>
      </c>
      <c r="G92" s="576" t="s">
        <v>1311</v>
      </c>
      <c r="H92" s="576" t="s">
        <v>1617</v>
      </c>
      <c r="I92" s="576" t="s">
        <v>1618</v>
      </c>
      <c r="J92" s="576" t="s">
        <v>1619</v>
      </c>
      <c r="K92" s="576" t="s">
        <v>1620</v>
      </c>
      <c r="L92" s="576" t="s">
        <v>1621</v>
      </c>
      <c r="M92" s="580" t="s">
        <v>1622</v>
      </c>
    </row>
    <row r="93" spans="2:13" ht="5.25" customHeight="1" x14ac:dyDescent="0.2">
      <c r="B93" s="262"/>
      <c r="C93" s="632"/>
      <c r="D93" s="632"/>
      <c r="E93" s="632"/>
      <c r="F93" s="632"/>
      <c r="G93" s="632"/>
      <c r="H93" s="632"/>
      <c r="I93" s="632"/>
      <c r="J93" s="632"/>
      <c r="K93" s="632"/>
      <c r="L93" s="632"/>
      <c r="M93" s="263"/>
    </row>
    <row r="94" spans="2:13" ht="12.75" customHeight="1" x14ac:dyDescent="0.2">
      <c r="E94" s="555" t="s">
        <v>842</v>
      </c>
      <c r="F94" s="555" t="s">
        <v>505</v>
      </c>
      <c r="G94" s="555" t="s">
        <v>506</v>
      </c>
      <c r="K94" s="555" t="s">
        <v>842</v>
      </c>
      <c r="L94" s="555" t="s">
        <v>505</v>
      </c>
      <c r="M94" s="562" t="s">
        <v>506</v>
      </c>
    </row>
    <row r="95" spans="2:13" ht="12.75" customHeight="1" x14ac:dyDescent="0.2">
      <c r="B95" s="1067" t="s">
        <v>849</v>
      </c>
      <c r="C95" s="1067"/>
      <c r="D95" s="1067"/>
      <c r="E95" s="279"/>
      <c r="F95" s="279" t="s">
        <v>1230</v>
      </c>
      <c r="G95" s="279"/>
      <c r="H95" s="1067" t="s">
        <v>850</v>
      </c>
      <c r="I95" s="1067"/>
      <c r="J95" s="1067"/>
      <c r="K95" s="1067"/>
      <c r="L95" s="279"/>
      <c r="M95" s="279" t="s">
        <v>1230</v>
      </c>
    </row>
    <row r="96" spans="2:13" ht="12.75" customHeight="1" x14ac:dyDescent="0.2">
      <c r="B96" s="1067" t="s">
        <v>851</v>
      </c>
      <c r="C96" s="1067"/>
      <c r="D96" s="1067"/>
      <c r="E96" s="1067"/>
      <c r="F96" s="279" t="s">
        <v>1230</v>
      </c>
      <c r="G96" s="279"/>
      <c r="H96" s="1067" t="s">
        <v>852</v>
      </c>
      <c r="I96" s="1067"/>
      <c r="J96" s="1067"/>
      <c r="K96" s="1067"/>
      <c r="L96" s="279"/>
      <c r="M96" s="279" t="s">
        <v>1230</v>
      </c>
    </row>
    <row r="97" spans="2:13" ht="12.75" customHeight="1" x14ac:dyDescent="0.2">
      <c r="B97" s="1067" t="s">
        <v>853</v>
      </c>
      <c r="C97" s="1067"/>
      <c r="D97" s="1067"/>
      <c r="E97" s="279"/>
      <c r="F97" s="279" t="s">
        <v>1230</v>
      </c>
      <c r="G97" s="279"/>
      <c r="H97" s="1067" t="s">
        <v>854</v>
      </c>
      <c r="I97" s="1067"/>
      <c r="J97" s="1067"/>
      <c r="K97" s="1067"/>
      <c r="L97" s="279" t="s">
        <v>1230</v>
      </c>
      <c r="M97" s="279"/>
    </row>
    <row r="98" spans="2:13" ht="12.75" customHeight="1" x14ac:dyDescent="0.2">
      <c r="B98" s="1067" t="s">
        <v>855</v>
      </c>
      <c r="C98" s="1067"/>
      <c r="D98" s="1067"/>
      <c r="E98" s="279"/>
      <c r="F98" s="279"/>
      <c r="G98" s="279" t="s">
        <v>1230</v>
      </c>
      <c r="H98" s="1067" t="s">
        <v>856</v>
      </c>
      <c r="I98" s="1067"/>
      <c r="J98" s="1067"/>
      <c r="K98" s="279" t="s">
        <v>1230</v>
      </c>
      <c r="L98" s="279"/>
      <c r="M98" s="279"/>
    </row>
    <row r="99" spans="2:13" ht="7.5" customHeight="1" x14ac:dyDescent="0.2">
      <c r="B99" s="1140"/>
      <c r="C99" s="1141"/>
      <c r="D99" s="1141"/>
      <c r="E99" s="1141"/>
      <c r="F99" s="1141"/>
      <c r="G99" s="1141"/>
      <c r="H99" s="1141"/>
      <c r="I99" s="1141"/>
      <c r="J99" s="1141"/>
      <c r="K99" s="1141"/>
      <c r="L99" s="1141"/>
      <c r="M99" s="1142"/>
    </row>
    <row r="100" spans="2:13" ht="12.75" customHeight="1" x14ac:dyDescent="0.2">
      <c r="B100" s="1229" t="s">
        <v>1226</v>
      </c>
      <c r="C100" s="1230"/>
      <c r="D100" s="1230"/>
      <c r="E100" s="1230"/>
      <c r="F100" s="1230"/>
      <c r="G100" s="1230"/>
      <c r="H100" s="1230"/>
      <c r="I100" s="1230"/>
      <c r="J100" s="1230"/>
      <c r="K100" s="1230"/>
      <c r="L100" s="1230"/>
      <c r="M100" s="1231"/>
    </row>
    <row r="101" spans="2:13" ht="15.75" customHeight="1" x14ac:dyDescent="0.2">
      <c r="B101" s="1232" t="s">
        <v>857</v>
      </c>
      <c r="C101" s="1232"/>
      <c r="D101" s="1232"/>
      <c r="E101" s="1232"/>
      <c r="F101" s="1232"/>
      <c r="G101" s="1232"/>
      <c r="H101" s="1232" t="s">
        <v>858</v>
      </c>
      <c r="I101" s="1232"/>
      <c r="J101" s="1232"/>
      <c r="K101" s="1232"/>
      <c r="L101" s="1232"/>
      <c r="M101" s="1232"/>
    </row>
    <row r="102" spans="2:13" ht="14.1" customHeight="1" x14ac:dyDescent="0.2">
      <c r="B102" s="266"/>
      <c r="C102" s="266"/>
      <c r="D102" s="266"/>
      <c r="E102" s="266"/>
      <c r="F102" s="672" t="s">
        <v>505</v>
      </c>
      <c r="G102" s="563" t="s">
        <v>506</v>
      </c>
      <c r="H102" s="266"/>
      <c r="I102" s="266"/>
      <c r="J102" s="266"/>
      <c r="K102" s="266"/>
      <c r="L102" s="563" t="s">
        <v>505</v>
      </c>
      <c r="M102" s="671" t="s">
        <v>506</v>
      </c>
    </row>
    <row r="103" spans="2:13" ht="14.1" customHeight="1" x14ac:dyDescent="0.2">
      <c r="B103" s="1248" t="s">
        <v>859</v>
      </c>
      <c r="C103" s="1248"/>
      <c r="D103" s="1248"/>
      <c r="E103" s="1248"/>
      <c r="F103" s="279"/>
      <c r="G103" s="279"/>
      <c r="H103" s="1248" t="s">
        <v>860</v>
      </c>
      <c r="I103" s="1248"/>
      <c r="J103" s="1248"/>
      <c r="K103" s="1248"/>
      <c r="L103" s="279"/>
      <c r="M103" s="571"/>
    </row>
    <row r="104" spans="2:13" ht="14.1" customHeight="1" x14ac:dyDescent="0.2">
      <c r="B104" s="1249"/>
      <c r="C104" s="1248"/>
      <c r="D104" s="1248"/>
      <c r="E104" s="1248"/>
      <c r="F104" s="581"/>
      <c r="G104" s="581"/>
      <c r="H104" s="1248" t="s">
        <v>862</v>
      </c>
      <c r="I104" s="1248"/>
      <c r="J104" s="1248"/>
      <c r="K104" s="1248"/>
      <c r="L104" s="279"/>
      <c r="M104" s="571"/>
    </row>
    <row r="105" spans="2:13" ht="12.75" customHeight="1" x14ac:dyDescent="0.2">
      <c r="B105" s="1249" t="s">
        <v>861</v>
      </c>
      <c r="C105" s="1248"/>
      <c r="D105" s="1248"/>
      <c r="E105" s="1248"/>
      <c r="F105" s="279"/>
      <c r="G105" s="279"/>
      <c r="H105" s="1248" t="s">
        <v>863</v>
      </c>
      <c r="I105" s="1248"/>
      <c r="J105" s="1248"/>
      <c r="K105" s="1248"/>
      <c r="L105" s="279"/>
      <c r="M105" s="571"/>
    </row>
    <row r="106" spans="2:13" ht="12.75" customHeight="1" x14ac:dyDescent="0.2">
      <c r="B106" s="1249"/>
      <c r="C106" s="1248"/>
      <c r="D106" s="1248"/>
      <c r="E106" s="1248"/>
      <c r="F106" s="581"/>
      <c r="G106" s="581"/>
      <c r="H106" s="1248" t="s">
        <v>864</v>
      </c>
      <c r="I106" s="1248"/>
      <c r="J106" s="1248"/>
      <c r="K106" s="1248"/>
      <c r="L106" s="279"/>
      <c r="M106" s="571"/>
    </row>
    <row r="107" spans="2:13" ht="12.75" customHeight="1" x14ac:dyDescent="0.2">
      <c r="B107" s="1249" t="s">
        <v>863</v>
      </c>
      <c r="C107" s="1248"/>
      <c r="D107" s="1248"/>
      <c r="E107" s="1248"/>
      <c r="F107" s="279"/>
      <c r="G107" s="279"/>
      <c r="H107" s="1248" t="s">
        <v>865</v>
      </c>
      <c r="I107" s="1248"/>
      <c r="J107" s="1248"/>
      <c r="K107" s="1248"/>
      <c r="L107" s="279"/>
      <c r="M107" s="571"/>
    </row>
    <row r="108" spans="2:13" ht="24" customHeight="1" thickBot="1" x14ac:dyDescent="0.25">
      <c r="B108" s="637" t="s">
        <v>804</v>
      </c>
      <c r="C108" s="1089"/>
      <c r="D108" s="1089"/>
      <c r="E108" s="1089"/>
      <c r="F108" s="1089"/>
      <c r="G108" s="1089"/>
      <c r="H108" s="1089"/>
      <c r="I108" s="1089"/>
      <c r="J108" s="1089"/>
      <c r="K108" s="1089"/>
      <c r="L108" s="1089"/>
      <c r="M108" s="1090"/>
    </row>
    <row r="109" spans="2:13" ht="6.75" customHeight="1" x14ac:dyDescent="0.2">
      <c r="B109" s="256"/>
      <c r="C109" s="256"/>
      <c r="D109" s="256"/>
      <c r="E109" s="256"/>
      <c r="F109" s="256"/>
      <c r="G109" s="256"/>
      <c r="H109" s="256"/>
      <c r="I109" s="256"/>
      <c r="J109" s="256"/>
      <c r="K109" s="256"/>
      <c r="L109" s="256"/>
      <c r="M109" s="256"/>
    </row>
    <row r="110" spans="2:13" ht="14.1" customHeight="1" thickBot="1" x14ac:dyDescent="0.25">
      <c r="B110" s="265" t="s">
        <v>866</v>
      </c>
      <c r="C110" s="258"/>
      <c r="D110" s="258"/>
      <c r="E110" s="256"/>
      <c r="F110" s="256"/>
      <c r="G110" s="256"/>
      <c r="H110" s="256"/>
      <c r="I110" s="256"/>
      <c r="J110" s="256"/>
      <c r="K110" s="256"/>
      <c r="L110" s="256"/>
      <c r="M110" s="256"/>
    </row>
    <row r="111" spans="2:13" ht="14.1" customHeight="1" x14ac:dyDescent="0.2">
      <c r="B111" s="1050" t="s">
        <v>867</v>
      </c>
      <c r="C111" s="1051"/>
      <c r="D111" s="1051"/>
      <c r="E111" s="1051"/>
      <c r="F111" s="635" t="s">
        <v>868</v>
      </c>
      <c r="G111" s="635" t="s">
        <v>869</v>
      </c>
      <c r="H111" s="558" t="s">
        <v>870</v>
      </c>
      <c r="I111" s="558" t="s">
        <v>871</v>
      </c>
      <c r="J111" s="1261" t="s">
        <v>1169</v>
      </c>
      <c r="K111" s="1263"/>
      <c r="L111" s="1263"/>
      <c r="M111" s="1264"/>
    </row>
    <row r="112" spans="2:13" ht="14.1" customHeight="1" x14ac:dyDescent="0.2">
      <c r="B112" s="1095"/>
      <c r="C112" s="1067"/>
      <c r="D112" s="1067"/>
      <c r="E112" s="1067"/>
      <c r="F112" s="279" t="s">
        <v>1230</v>
      </c>
      <c r="G112" s="279"/>
      <c r="H112" s="279" t="s">
        <v>1230</v>
      </c>
      <c r="I112" s="279"/>
      <c r="J112" s="1262"/>
      <c r="K112" s="1256"/>
      <c r="L112" s="1256"/>
      <c r="M112" s="1265"/>
    </row>
    <row r="113" spans="2:13" ht="14.1" customHeight="1" x14ac:dyDescent="0.2">
      <c r="B113" s="1095" t="s">
        <v>872</v>
      </c>
      <c r="C113" s="1067"/>
      <c r="D113" s="1067"/>
      <c r="E113" s="1067"/>
      <c r="F113" s="630" t="s">
        <v>873</v>
      </c>
      <c r="G113" s="630" t="s">
        <v>874</v>
      </c>
      <c r="H113" s="630" t="s">
        <v>875</v>
      </c>
      <c r="I113" s="630" t="s">
        <v>876</v>
      </c>
      <c r="J113" s="630" t="s">
        <v>780</v>
      </c>
      <c r="K113" s="630" t="s">
        <v>782</v>
      </c>
      <c r="L113" s="630" t="s">
        <v>819</v>
      </c>
      <c r="M113" s="634" t="s">
        <v>820</v>
      </c>
    </row>
    <row r="114" spans="2:13" ht="14.1" customHeight="1" x14ac:dyDescent="0.2">
      <c r="B114" s="1095"/>
      <c r="C114" s="1067"/>
      <c r="D114" s="1067"/>
      <c r="E114" s="1067"/>
      <c r="F114" s="279"/>
      <c r="G114" s="279"/>
      <c r="H114" s="279" t="s">
        <v>1230</v>
      </c>
      <c r="I114" s="279"/>
      <c r="J114" s="279"/>
      <c r="K114" s="279"/>
      <c r="L114" s="279"/>
      <c r="M114" s="571" t="s">
        <v>1230</v>
      </c>
    </row>
    <row r="115" spans="2:13" ht="14.1" customHeight="1" x14ac:dyDescent="0.2">
      <c r="B115" s="566" t="s">
        <v>1123</v>
      </c>
      <c r="C115" s="630" t="s">
        <v>931</v>
      </c>
      <c r="D115" s="279" t="s">
        <v>1230</v>
      </c>
      <c r="E115" s="630" t="s">
        <v>932</v>
      </c>
      <c r="F115" s="279"/>
      <c r="G115" s="564" t="s">
        <v>1122</v>
      </c>
      <c r="H115" s="280" t="s">
        <v>877</v>
      </c>
      <c r="I115" s="629" t="s">
        <v>1312</v>
      </c>
      <c r="J115" s="280" t="s">
        <v>878</v>
      </c>
      <c r="K115" s="629" t="s">
        <v>1313</v>
      </c>
      <c r="L115" s="280" t="s">
        <v>879</v>
      </c>
      <c r="M115" s="584" t="s">
        <v>1314</v>
      </c>
    </row>
    <row r="116" spans="2:13" ht="14.1" customHeight="1" x14ac:dyDescent="0.2">
      <c r="B116" s="1095" t="s">
        <v>880</v>
      </c>
      <c r="C116" s="1067"/>
      <c r="D116" s="1067"/>
      <c r="E116" s="1067"/>
      <c r="F116" s="1040" t="s">
        <v>881</v>
      </c>
      <c r="G116" s="1040"/>
      <c r="H116" s="1256" t="s">
        <v>1315</v>
      </c>
      <c r="I116" s="1256"/>
      <c r="J116" s="1256"/>
      <c r="K116" s="630" t="s">
        <v>882</v>
      </c>
      <c r="L116" s="630" t="s">
        <v>883</v>
      </c>
      <c r="M116" s="634" t="s">
        <v>884</v>
      </c>
    </row>
    <row r="117" spans="2:13" ht="14.1" customHeight="1" x14ac:dyDescent="0.2">
      <c r="B117" s="1095"/>
      <c r="C117" s="1067"/>
      <c r="D117" s="1067"/>
      <c r="E117" s="1067"/>
      <c r="F117" s="1040"/>
      <c r="G117" s="1040"/>
      <c r="H117" s="1256"/>
      <c r="I117" s="1256"/>
      <c r="J117" s="1256"/>
      <c r="K117" s="279" t="s">
        <v>1230</v>
      </c>
      <c r="L117" s="279"/>
      <c r="M117" s="571"/>
    </row>
    <row r="118" spans="2:13" ht="14.1" customHeight="1" x14ac:dyDescent="0.2">
      <c r="B118" s="1095" t="s">
        <v>885</v>
      </c>
      <c r="C118" s="1067"/>
      <c r="D118" s="1067"/>
      <c r="E118" s="1067"/>
      <c r="F118" s="630" t="s">
        <v>882</v>
      </c>
      <c r="G118" s="630" t="s">
        <v>883</v>
      </c>
      <c r="H118" s="1067" t="s">
        <v>886</v>
      </c>
      <c r="I118" s="1067"/>
      <c r="J118" s="1240" t="s">
        <v>887</v>
      </c>
      <c r="K118" s="1240"/>
      <c r="L118" s="1240" t="s">
        <v>888</v>
      </c>
      <c r="M118" s="1257"/>
    </row>
    <row r="119" spans="2:13" ht="14.1" customHeight="1" x14ac:dyDescent="0.2">
      <c r="B119" s="1095"/>
      <c r="C119" s="1067"/>
      <c r="D119" s="1067"/>
      <c r="E119" s="1067"/>
      <c r="F119" s="279"/>
      <c r="G119" s="279"/>
      <c r="H119" s="1067"/>
      <c r="I119" s="1067"/>
      <c r="J119" s="1164" t="s">
        <v>1230</v>
      </c>
      <c r="K119" s="1164"/>
      <c r="L119" s="1164"/>
      <c r="M119" s="1165"/>
    </row>
    <row r="120" spans="2:13" ht="14.1" customHeight="1" x14ac:dyDescent="0.2">
      <c r="B120" s="1235" t="s">
        <v>889</v>
      </c>
      <c r="C120" s="1236"/>
      <c r="D120" s="1236"/>
      <c r="E120" s="1236"/>
      <c r="F120" s="1236"/>
      <c r="G120" s="1236"/>
      <c r="H120" s="1236"/>
      <c r="I120" s="1236"/>
      <c r="J120" s="565" t="s">
        <v>882</v>
      </c>
      <c r="K120" s="279" t="s">
        <v>1230</v>
      </c>
      <c r="L120" s="565" t="s">
        <v>883</v>
      </c>
      <c r="M120" s="571"/>
    </row>
    <row r="121" spans="2:13" ht="14.1" customHeight="1" x14ac:dyDescent="0.2">
      <c r="B121" s="1238" t="s">
        <v>890</v>
      </c>
      <c r="C121" s="1239"/>
      <c r="D121" s="1239"/>
      <c r="E121" s="636" t="s">
        <v>891</v>
      </c>
      <c r="F121" s="636" t="s">
        <v>892</v>
      </c>
      <c r="G121" s="636" t="s">
        <v>893</v>
      </c>
      <c r="H121" s="636" t="s">
        <v>171</v>
      </c>
      <c r="I121" s="636" t="s">
        <v>172</v>
      </c>
      <c r="J121" s="636" t="s">
        <v>173</v>
      </c>
      <c r="K121" s="628" t="s">
        <v>894</v>
      </c>
      <c r="L121" s="1046" t="s">
        <v>1241</v>
      </c>
      <c r="M121" s="1228"/>
    </row>
    <row r="122" spans="2:13" ht="14.1" customHeight="1" x14ac:dyDescent="0.2">
      <c r="B122" s="633" t="s">
        <v>1195</v>
      </c>
      <c r="C122" s="613" t="s">
        <v>296</v>
      </c>
      <c r="D122" s="628" t="s">
        <v>895</v>
      </c>
      <c r="E122" s="627" t="s">
        <v>1326</v>
      </c>
      <c r="F122" s="629" t="s">
        <v>1327</v>
      </c>
      <c r="G122" s="629" t="s">
        <v>1328</v>
      </c>
      <c r="H122" s="629" t="s">
        <v>1316</v>
      </c>
      <c r="I122" s="629" t="s">
        <v>1317</v>
      </c>
      <c r="J122" s="629" t="s">
        <v>1318</v>
      </c>
      <c r="K122" s="628" t="s">
        <v>896</v>
      </c>
      <c r="L122" s="1046" t="s">
        <v>1325</v>
      </c>
      <c r="M122" s="1228"/>
    </row>
    <row r="123" spans="2:13" ht="14.1" customHeight="1" x14ac:dyDescent="0.2">
      <c r="B123" s="585"/>
      <c r="C123" s="583"/>
      <c r="D123" s="628" t="s">
        <v>897</v>
      </c>
      <c r="E123" s="712" t="s">
        <v>1319</v>
      </c>
      <c r="F123" s="629" t="s">
        <v>1320</v>
      </c>
      <c r="G123" s="629" t="s">
        <v>1321</v>
      </c>
      <c r="H123" s="629" t="s">
        <v>1322</v>
      </c>
      <c r="I123" s="629" t="s">
        <v>1323</v>
      </c>
      <c r="J123" s="629" t="s">
        <v>1324</v>
      </c>
      <c r="K123" s="628" t="s">
        <v>898</v>
      </c>
      <c r="L123" s="701" t="s">
        <v>1329</v>
      </c>
      <c r="M123" s="643" t="s">
        <v>13</v>
      </c>
    </row>
    <row r="124" spans="2:13" ht="14.1" customHeight="1" x14ac:dyDescent="0.2">
      <c r="B124" s="1226" t="s">
        <v>899</v>
      </c>
      <c r="C124" s="1227"/>
      <c r="D124" s="1227"/>
      <c r="E124" s="628" t="s">
        <v>900</v>
      </c>
      <c r="F124" s="1217" t="s">
        <v>1242</v>
      </c>
      <c r="G124" s="1217"/>
      <c r="H124" s="1040" t="s">
        <v>1049</v>
      </c>
      <c r="I124" s="1040"/>
      <c r="J124" s="630" t="s">
        <v>505</v>
      </c>
      <c r="K124" s="279" t="s">
        <v>1230</v>
      </c>
      <c r="L124" s="630" t="s">
        <v>506</v>
      </c>
      <c r="M124" s="571"/>
    </row>
    <row r="125" spans="2:13" ht="14.1" customHeight="1" x14ac:dyDescent="0.2">
      <c r="B125" s="1235" t="s">
        <v>901</v>
      </c>
      <c r="C125" s="1236"/>
      <c r="D125" s="1236"/>
      <c r="E125" s="1236"/>
      <c r="F125" s="1236"/>
      <c r="G125" s="1236"/>
      <c r="H125" s="1236"/>
      <c r="I125" s="1236"/>
      <c r="J125" s="565" t="s">
        <v>882</v>
      </c>
      <c r="K125" s="279" t="s">
        <v>1230</v>
      </c>
      <c r="L125" s="565" t="s">
        <v>883</v>
      </c>
      <c r="M125" s="571"/>
    </row>
    <row r="126" spans="2:13" ht="23.25" customHeight="1" x14ac:dyDescent="0.2">
      <c r="B126" s="631" t="s">
        <v>804</v>
      </c>
      <c r="C126" s="1241"/>
      <c r="D126" s="1241"/>
      <c r="E126" s="1241"/>
      <c r="F126" s="1241"/>
      <c r="G126" s="1241"/>
      <c r="H126" s="1241"/>
      <c r="I126" s="1241"/>
      <c r="J126" s="1241"/>
      <c r="K126" s="1241"/>
      <c r="L126" s="1241"/>
      <c r="M126" s="1242"/>
    </row>
    <row r="127" spans="2:13" ht="14.1" customHeight="1" x14ac:dyDescent="0.2">
      <c r="B127" s="1095" t="s">
        <v>902</v>
      </c>
      <c r="C127" s="1067"/>
      <c r="D127" s="1067"/>
      <c r="E127" s="1067"/>
      <c r="F127" s="630" t="s">
        <v>505</v>
      </c>
      <c r="G127" s="630" t="s">
        <v>506</v>
      </c>
      <c r="H127" s="1067" t="s">
        <v>903</v>
      </c>
      <c r="I127" s="1067"/>
      <c r="J127" s="1067"/>
      <c r="K127" s="1067"/>
      <c r="L127" s="630" t="s">
        <v>505</v>
      </c>
      <c r="M127" s="634" t="s">
        <v>506</v>
      </c>
    </row>
    <row r="128" spans="2:13" ht="14.1" customHeight="1" x14ac:dyDescent="0.2">
      <c r="B128" s="1095"/>
      <c r="C128" s="1067"/>
      <c r="D128" s="1067"/>
      <c r="E128" s="1067"/>
      <c r="F128" s="279"/>
      <c r="G128" s="279" t="s">
        <v>1230</v>
      </c>
      <c r="H128" s="1067"/>
      <c r="I128" s="1067"/>
      <c r="J128" s="1067"/>
      <c r="K128" s="1067"/>
      <c r="L128" s="279" t="s">
        <v>1230</v>
      </c>
      <c r="M128" s="571"/>
    </row>
    <row r="129" spans="2:15" ht="14.1" customHeight="1" thickBot="1" x14ac:dyDescent="0.25">
      <c r="B129" s="1266" t="s">
        <v>904</v>
      </c>
      <c r="C129" s="1075"/>
      <c r="D129" s="1127"/>
      <c r="E129" s="1127"/>
      <c r="F129" s="1127"/>
      <c r="G129" s="1127"/>
      <c r="H129" s="1127"/>
      <c r="I129" s="1127"/>
      <c r="J129" s="1127"/>
      <c r="K129" s="1127"/>
      <c r="L129" s="1127"/>
      <c r="M129" s="1128"/>
    </row>
    <row r="130" spans="2:15" ht="6.75" customHeight="1" x14ac:dyDescent="0.2">
      <c r="B130" s="1243"/>
      <c r="C130" s="1244"/>
      <c r="D130" s="1244"/>
      <c r="E130" s="1244"/>
      <c r="F130" s="1244"/>
      <c r="G130" s="1244"/>
      <c r="H130" s="1244"/>
      <c r="I130" s="1244"/>
      <c r="J130" s="1244"/>
      <c r="K130" s="1244"/>
      <c r="L130" s="1244"/>
      <c r="M130" s="1245"/>
    </row>
    <row r="131" spans="2:15" ht="14.1" customHeight="1" x14ac:dyDescent="0.2">
      <c r="B131" s="1129" t="s">
        <v>1197</v>
      </c>
      <c r="C131" s="1130"/>
      <c r="D131" s="1130"/>
      <c r="E131" s="1130"/>
      <c r="F131" s="1130"/>
      <c r="G131" s="1130"/>
      <c r="H131" s="1130"/>
      <c r="I131" s="1130"/>
      <c r="J131" s="1130"/>
      <c r="K131" s="1130"/>
      <c r="L131" s="1130"/>
      <c r="M131" s="1131"/>
    </row>
    <row r="132" spans="2:15" ht="14.1" customHeight="1" x14ac:dyDescent="0.2">
      <c r="B132" s="275"/>
      <c r="C132" s="266"/>
      <c r="D132" s="266"/>
      <c r="E132" s="266"/>
      <c r="F132" s="630" t="s">
        <v>505</v>
      </c>
      <c r="G132" s="630" t="s">
        <v>506</v>
      </c>
      <c r="H132" s="266"/>
      <c r="I132" s="266"/>
      <c r="J132" s="266"/>
      <c r="K132" s="266"/>
      <c r="L132" s="673" t="s">
        <v>505</v>
      </c>
      <c r="M132" s="674" t="s">
        <v>506</v>
      </c>
    </row>
    <row r="133" spans="2:15" ht="14.1" customHeight="1" x14ac:dyDescent="0.2">
      <c r="B133" s="1095" t="s">
        <v>909</v>
      </c>
      <c r="C133" s="1067"/>
      <c r="D133" s="1067"/>
      <c r="E133" s="1067"/>
      <c r="F133" s="279" t="s">
        <v>1230</v>
      </c>
      <c r="G133" s="279"/>
      <c r="H133" s="1067" t="s">
        <v>908</v>
      </c>
      <c r="I133" s="1067"/>
      <c r="J133" s="1067"/>
      <c r="K133" s="1067"/>
      <c r="L133" s="279" t="s">
        <v>1230</v>
      </c>
      <c r="M133" s="571"/>
      <c r="O133" s="685"/>
    </row>
    <row r="134" spans="2:15" ht="14.1" customHeight="1" x14ac:dyDescent="0.2">
      <c r="B134" s="1095" t="s">
        <v>911</v>
      </c>
      <c r="C134" s="1067"/>
      <c r="D134" s="1067"/>
      <c r="E134" s="1067"/>
      <c r="F134" s="279" t="s">
        <v>1230</v>
      </c>
      <c r="G134" s="279"/>
      <c r="H134" s="1067" t="s">
        <v>910</v>
      </c>
      <c r="I134" s="1067"/>
      <c r="J134" s="1067"/>
      <c r="K134" s="1067"/>
      <c r="L134" s="279" t="s">
        <v>1230</v>
      </c>
      <c r="M134" s="571"/>
    </row>
    <row r="135" spans="2:15" ht="14.1" customHeight="1" x14ac:dyDescent="0.2">
      <c r="B135" s="1095" t="s">
        <v>913</v>
      </c>
      <c r="C135" s="1067"/>
      <c r="D135" s="1067"/>
      <c r="E135" s="1067"/>
      <c r="F135" s="279" t="s">
        <v>1230</v>
      </c>
      <c r="G135" s="279"/>
      <c r="H135" s="1067" t="s">
        <v>912</v>
      </c>
      <c r="I135" s="1067"/>
      <c r="J135" s="1067"/>
      <c r="K135" s="1067"/>
      <c r="L135" s="279" t="s">
        <v>1230</v>
      </c>
      <c r="M135" s="571"/>
    </row>
    <row r="136" spans="2:15" ht="14.1" customHeight="1" x14ac:dyDescent="0.2">
      <c r="B136" s="275"/>
      <c r="C136" s="266"/>
      <c r="D136" s="266"/>
      <c r="E136" s="266"/>
      <c r="F136" s="266"/>
      <c r="G136" s="266"/>
      <c r="H136" s="1067" t="s">
        <v>914</v>
      </c>
      <c r="I136" s="1067"/>
      <c r="J136" s="1067"/>
      <c r="K136" s="1067"/>
      <c r="L136" s="279"/>
      <c r="M136" s="571" t="s">
        <v>1230</v>
      </c>
    </row>
    <row r="137" spans="2:15" ht="14.1" customHeight="1" x14ac:dyDescent="0.2">
      <c r="B137" s="1032" t="s">
        <v>804</v>
      </c>
      <c r="C137" s="1246"/>
      <c r="D137" s="1246"/>
      <c r="E137" s="1246"/>
      <c r="F137" s="1246"/>
      <c r="G137" s="1246"/>
      <c r="H137" s="1067" t="s">
        <v>905</v>
      </c>
      <c r="I137" s="1067"/>
      <c r="J137" s="1132" t="s">
        <v>906</v>
      </c>
      <c r="K137" s="1132"/>
      <c r="L137" s="1132" t="s">
        <v>907</v>
      </c>
      <c r="M137" s="1133"/>
    </row>
    <row r="138" spans="2:15" ht="14.1" customHeight="1" thickBot="1" x14ac:dyDescent="0.25">
      <c r="B138" s="1033"/>
      <c r="C138" s="1247"/>
      <c r="D138" s="1247"/>
      <c r="E138" s="1247"/>
      <c r="F138" s="1247"/>
      <c r="G138" s="1247"/>
      <c r="H138" s="1075"/>
      <c r="I138" s="1075"/>
      <c r="J138" s="1134"/>
      <c r="K138" s="1134"/>
      <c r="L138" s="1134" t="s">
        <v>1230</v>
      </c>
      <c r="M138" s="1135"/>
    </row>
    <row r="139" spans="2:15" ht="8.25" customHeight="1" x14ac:dyDescent="0.2">
      <c r="B139" s="267"/>
      <c r="C139" s="267"/>
      <c r="D139" s="267"/>
      <c r="E139" s="267"/>
      <c r="F139" s="267"/>
      <c r="G139" s="267"/>
      <c r="H139" s="267"/>
      <c r="I139" s="267"/>
      <c r="J139" s="267"/>
      <c r="K139" s="267"/>
      <c r="L139" s="267"/>
      <c r="M139" s="267"/>
    </row>
    <row r="140" spans="2:15" ht="15" customHeight="1" thickBot="1" x14ac:dyDescent="0.25">
      <c r="B140" s="1048" t="s">
        <v>915</v>
      </c>
      <c r="C140" s="1049"/>
      <c r="D140" s="1049"/>
      <c r="E140" s="1049"/>
      <c r="F140" s="1049"/>
      <c r="G140" s="1049"/>
      <c r="H140" s="1049"/>
      <c r="I140" s="1049"/>
      <c r="J140" s="1049"/>
      <c r="K140" s="1049"/>
      <c r="L140" s="1049"/>
      <c r="M140" s="1049"/>
    </row>
    <row r="141" spans="2:15" ht="12.75" customHeight="1" x14ac:dyDescent="0.2">
      <c r="B141" s="1136" t="s">
        <v>916</v>
      </c>
      <c r="C141" s="1041"/>
      <c r="D141" s="1041"/>
      <c r="E141" s="1108"/>
      <c r="F141" s="1108"/>
      <c r="G141" s="1108"/>
      <c r="H141" s="1041" t="s">
        <v>917</v>
      </c>
      <c r="I141" s="1041"/>
      <c r="J141" s="1041" t="s">
        <v>918</v>
      </c>
      <c r="K141" s="1041"/>
      <c r="L141" s="1041" t="s">
        <v>919</v>
      </c>
      <c r="M141" s="1137"/>
    </row>
    <row r="142" spans="2:15" ht="14.1" customHeight="1" x14ac:dyDescent="0.2">
      <c r="B142" s="1118" t="s">
        <v>920</v>
      </c>
      <c r="C142" s="1040"/>
      <c r="D142" s="1040"/>
      <c r="E142" s="1040"/>
      <c r="F142" s="1040"/>
      <c r="G142" s="1040"/>
      <c r="H142" s="280" t="s">
        <v>921</v>
      </c>
      <c r="I142" s="280" t="s">
        <v>922</v>
      </c>
      <c r="J142" s="280" t="s">
        <v>923</v>
      </c>
      <c r="K142" s="280" t="s">
        <v>924</v>
      </c>
      <c r="L142" s="280" t="s">
        <v>925</v>
      </c>
      <c r="M142" s="528" t="s">
        <v>926</v>
      </c>
    </row>
    <row r="143" spans="2:15" ht="14.1" customHeight="1" x14ac:dyDescent="0.2">
      <c r="B143" s="1122"/>
      <c r="C143" s="1123"/>
      <c r="D143" s="1123"/>
      <c r="E143" s="1123"/>
      <c r="F143" s="1123"/>
      <c r="G143" s="1123"/>
      <c r="H143" s="576"/>
      <c r="I143" s="576"/>
      <c r="J143" s="576"/>
      <c r="K143" s="576"/>
      <c r="L143" s="576"/>
      <c r="M143" s="580"/>
    </row>
    <row r="144" spans="2:15" ht="14.1" customHeight="1" x14ac:dyDescent="0.2">
      <c r="B144" s="1122"/>
      <c r="C144" s="1123"/>
      <c r="D144" s="1123"/>
      <c r="E144" s="1123"/>
      <c r="F144" s="1123"/>
      <c r="G144" s="1123"/>
      <c r="H144" s="576"/>
      <c r="I144" s="576"/>
      <c r="J144" s="576"/>
      <c r="K144" s="576"/>
      <c r="L144" s="576"/>
      <c r="M144" s="580"/>
    </row>
    <row r="145" spans="2:13" ht="14.25" customHeight="1" x14ac:dyDescent="0.2">
      <c r="B145" s="1122"/>
      <c r="C145" s="1123"/>
      <c r="D145" s="1123"/>
      <c r="E145" s="1123"/>
      <c r="F145" s="1123"/>
      <c r="G145" s="1123"/>
      <c r="H145" s="576"/>
      <c r="I145" s="576"/>
      <c r="J145" s="576"/>
      <c r="K145" s="576"/>
      <c r="L145" s="576"/>
      <c r="M145" s="580"/>
    </row>
    <row r="146" spans="2:13" ht="14.1" customHeight="1" x14ac:dyDescent="0.2">
      <c r="B146" s="1122"/>
      <c r="C146" s="1123"/>
      <c r="D146" s="1123"/>
      <c r="E146" s="1123"/>
      <c r="F146" s="1123"/>
      <c r="G146" s="1123"/>
      <c r="H146" s="576"/>
      <c r="I146" s="576"/>
      <c r="J146" s="576"/>
      <c r="K146" s="576"/>
      <c r="L146" s="576"/>
      <c r="M146" s="580"/>
    </row>
    <row r="147" spans="2:13" ht="14.1" customHeight="1" x14ac:dyDescent="0.2">
      <c r="B147" s="1122"/>
      <c r="C147" s="1123"/>
      <c r="D147" s="1123"/>
      <c r="E147" s="1123"/>
      <c r="F147" s="1123"/>
      <c r="G147" s="1123"/>
      <c r="H147" s="576"/>
      <c r="I147" s="576"/>
      <c r="J147" s="576"/>
      <c r="K147" s="576"/>
      <c r="L147" s="576"/>
      <c r="M147" s="580"/>
    </row>
    <row r="148" spans="2:13" ht="12.75" customHeight="1" x14ac:dyDescent="0.2">
      <c r="B148" s="1258"/>
      <c r="C148" s="1259"/>
      <c r="D148" s="1259"/>
      <c r="E148" s="1259"/>
      <c r="F148" s="1259"/>
      <c r="G148" s="1259"/>
      <c r="H148" s="1259"/>
      <c r="I148" s="1259"/>
      <c r="J148" s="1259"/>
      <c r="K148" s="1259"/>
      <c r="L148" s="1259"/>
      <c r="M148" s="1260"/>
    </row>
    <row r="149" spans="2:13" ht="12.75" x14ac:dyDescent="0.2">
      <c r="B149" s="1118" t="s">
        <v>916</v>
      </c>
      <c r="C149" s="1040"/>
      <c r="D149" s="1040"/>
      <c r="E149" s="1046"/>
      <c r="F149" s="1046"/>
      <c r="G149" s="1046"/>
      <c r="H149" s="1040" t="s">
        <v>927</v>
      </c>
      <c r="I149" s="1040"/>
      <c r="J149" s="1040" t="s">
        <v>928</v>
      </c>
      <c r="K149" s="1040"/>
      <c r="L149" s="1040" t="s">
        <v>929</v>
      </c>
      <c r="M149" s="1124"/>
    </row>
    <row r="150" spans="2:13" ht="14.25" customHeight="1" x14ac:dyDescent="0.2">
      <c r="B150" s="1118" t="s">
        <v>920</v>
      </c>
      <c r="C150" s="1040"/>
      <c r="D150" s="1040"/>
      <c r="E150" s="1040"/>
      <c r="F150" s="1040"/>
      <c r="G150" s="1040"/>
      <c r="H150" s="280" t="s">
        <v>921</v>
      </c>
      <c r="I150" s="280" t="s">
        <v>922</v>
      </c>
      <c r="J150" s="280" t="s">
        <v>923</v>
      </c>
      <c r="K150" s="280" t="s">
        <v>924</v>
      </c>
      <c r="L150" s="280" t="s">
        <v>925</v>
      </c>
      <c r="M150" s="528" t="s">
        <v>926</v>
      </c>
    </row>
    <row r="151" spans="2:13" ht="14.25" customHeight="1" x14ac:dyDescent="0.2">
      <c r="B151" s="1122"/>
      <c r="C151" s="1123"/>
      <c r="D151" s="1123"/>
      <c r="E151" s="1123"/>
      <c r="F151" s="1123"/>
      <c r="G151" s="1123"/>
      <c r="H151" s="576"/>
      <c r="I151" s="576"/>
      <c r="J151" s="576"/>
      <c r="K151" s="576"/>
      <c r="L151" s="576"/>
      <c r="M151" s="580"/>
    </row>
    <row r="152" spans="2:13" ht="14.25" customHeight="1" x14ac:dyDescent="0.2">
      <c r="B152" s="1122"/>
      <c r="C152" s="1123"/>
      <c r="D152" s="1123"/>
      <c r="E152" s="1123"/>
      <c r="F152" s="1123"/>
      <c r="G152" s="1123"/>
      <c r="H152" s="576"/>
      <c r="I152" s="576"/>
      <c r="J152" s="576"/>
      <c r="K152" s="576"/>
      <c r="L152" s="576"/>
      <c r="M152" s="580"/>
    </row>
    <row r="153" spans="2:13" ht="14.25" customHeight="1" x14ac:dyDescent="0.2">
      <c r="B153" s="1122"/>
      <c r="C153" s="1123"/>
      <c r="D153" s="1123"/>
      <c r="E153" s="1123"/>
      <c r="F153" s="1123"/>
      <c r="G153" s="1123"/>
      <c r="H153" s="576"/>
      <c r="I153" s="576"/>
      <c r="J153" s="576"/>
      <c r="K153" s="576"/>
      <c r="L153" s="576"/>
      <c r="M153" s="580"/>
    </row>
    <row r="154" spans="2:13" ht="14.25" customHeight="1" x14ac:dyDescent="0.2">
      <c r="B154" s="1122"/>
      <c r="C154" s="1123"/>
      <c r="D154" s="1123"/>
      <c r="E154" s="1123"/>
      <c r="F154" s="1123"/>
      <c r="G154" s="1123"/>
      <c r="H154" s="576"/>
      <c r="I154" s="576"/>
      <c r="J154" s="576"/>
      <c r="K154" s="576"/>
      <c r="L154" s="576"/>
      <c r="M154" s="580"/>
    </row>
    <row r="155" spans="2:13" ht="14.25" customHeight="1" x14ac:dyDescent="0.2">
      <c r="B155" s="1122"/>
      <c r="C155" s="1123"/>
      <c r="D155" s="1123"/>
      <c r="E155" s="1123"/>
      <c r="F155" s="1123"/>
      <c r="G155" s="1123"/>
      <c r="H155" s="576"/>
      <c r="I155" s="576"/>
      <c r="J155" s="576"/>
      <c r="K155" s="576"/>
      <c r="L155" s="576"/>
      <c r="M155" s="580"/>
    </row>
    <row r="156" spans="2:13" ht="27.75" customHeight="1" thickBot="1" x14ac:dyDescent="0.25">
      <c r="B156" s="533" t="s">
        <v>804</v>
      </c>
      <c r="C156" s="1089" t="s">
        <v>1348</v>
      </c>
      <c r="D156" s="1089"/>
      <c r="E156" s="1089"/>
      <c r="F156" s="1089"/>
      <c r="G156" s="1089"/>
      <c r="H156" s="1089"/>
      <c r="I156" s="1089"/>
      <c r="J156" s="1089"/>
      <c r="K156" s="1089"/>
      <c r="L156" s="1089"/>
      <c r="M156" s="1090"/>
    </row>
    <row r="157" spans="2:13" ht="9" customHeight="1" x14ac:dyDescent="0.2">
      <c r="B157" s="267"/>
      <c r="C157" s="267"/>
      <c r="D157" s="267"/>
      <c r="E157" s="267"/>
      <c r="F157" s="267"/>
      <c r="G157" s="267"/>
      <c r="H157" s="267"/>
      <c r="I157" s="267"/>
      <c r="J157" s="267"/>
      <c r="K157" s="267"/>
      <c r="L157" s="267"/>
      <c r="M157" s="267"/>
    </row>
    <row r="158" spans="2:13" ht="15.75" customHeight="1" thickBot="1" x14ac:dyDescent="0.25">
      <c r="B158" s="1048" t="s">
        <v>1227</v>
      </c>
      <c r="C158" s="1049"/>
      <c r="D158" s="1049"/>
      <c r="E158" s="1049"/>
      <c r="F158" s="1049"/>
      <c r="G158" s="1049"/>
      <c r="H158" s="1049"/>
      <c r="I158" s="1049"/>
      <c r="J158" s="1049"/>
      <c r="K158" s="1049"/>
      <c r="L158" s="1049"/>
      <c r="M158" s="1049"/>
    </row>
    <row r="159" spans="2:13" ht="15.75" customHeight="1" x14ac:dyDescent="0.2">
      <c r="B159" s="1253" t="s">
        <v>1201</v>
      </c>
      <c r="C159" s="1254"/>
      <c r="D159" s="1254"/>
      <c r="E159" s="1254"/>
      <c r="F159" s="1254"/>
      <c r="G159" s="1254"/>
      <c r="H159" s="1254" t="s">
        <v>1202</v>
      </c>
      <c r="I159" s="1254"/>
      <c r="J159" s="1254"/>
      <c r="K159" s="1254"/>
      <c r="L159" s="1254"/>
      <c r="M159" s="1255"/>
    </row>
    <row r="160" spans="2:13" ht="15.75" customHeight="1" x14ac:dyDescent="0.2">
      <c r="B160" s="681" t="s">
        <v>933</v>
      </c>
      <c r="C160" s="1125"/>
      <c r="D160" s="1125"/>
      <c r="E160" s="1125"/>
      <c r="F160" s="1125"/>
      <c r="G160" s="1125"/>
      <c r="H160" s="682" t="s">
        <v>933</v>
      </c>
      <c r="I160" s="1125"/>
      <c r="J160" s="1125"/>
      <c r="K160" s="1125"/>
      <c r="L160" s="1125"/>
      <c r="M160" s="1126"/>
    </row>
    <row r="161" spans="2:13" ht="14.1" customHeight="1" x14ac:dyDescent="0.2">
      <c r="B161" s="1119" t="s">
        <v>930</v>
      </c>
      <c r="C161" s="1120"/>
      <c r="D161" s="636" t="s">
        <v>931</v>
      </c>
      <c r="E161" s="279"/>
      <c r="F161" s="636" t="s">
        <v>932</v>
      </c>
      <c r="G161" s="279"/>
      <c r="H161" s="1120" t="s">
        <v>930</v>
      </c>
      <c r="I161" s="1120"/>
      <c r="J161" s="636" t="s">
        <v>931</v>
      </c>
      <c r="K161" s="279"/>
      <c r="L161" s="636" t="s">
        <v>932</v>
      </c>
      <c r="M161" s="571"/>
    </row>
    <row r="162" spans="2:13" ht="14.1" customHeight="1" x14ac:dyDescent="0.2">
      <c r="B162" s="1119" t="s">
        <v>934</v>
      </c>
      <c r="C162" s="1120"/>
      <c r="D162" s="1046"/>
      <c r="E162" s="1046"/>
      <c r="F162" s="1046"/>
      <c r="G162" s="1046"/>
      <c r="H162" s="1120" t="s">
        <v>937</v>
      </c>
      <c r="I162" s="1120"/>
      <c r="J162" s="1046"/>
      <c r="K162" s="1046"/>
      <c r="L162" s="1046"/>
      <c r="M162" s="1047"/>
    </row>
    <row r="163" spans="2:13" ht="14.1" customHeight="1" x14ac:dyDescent="0.2">
      <c r="B163" s="1119" t="s">
        <v>935</v>
      </c>
      <c r="C163" s="1120"/>
      <c r="D163" s="1046"/>
      <c r="E163" s="1046"/>
      <c r="F163" s="1046"/>
      <c r="G163" s="1046"/>
      <c r="H163" s="1120" t="s">
        <v>938</v>
      </c>
      <c r="I163" s="1120"/>
      <c r="J163" s="1046"/>
      <c r="K163" s="1046"/>
      <c r="L163" s="1046"/>
      <c r="M163" s="1047"/>
    </row>
    <row r="164" spans="2:13" ht="14.1" customHeight="1" x14ac:dyDescent="0.2">
      <c r="B164" s="1119" t="s">
        <v>936</v>
      </c>
      <c r="C164" s="1120"/>
      <c r="D164" s="1046"/>
      <c r="E164" s="1046"/>
      <c r="F164" s="1046"/>
      <c r="G164" s="1046"/>
      <c r="H164" s="1120" t="s">
        <v>939</v>
      </c>
      <c r="I164" s="1120"/>
      <c r="J164" s="1046"/>
      <c r="K164" s="1046"/>
      <c r="L164" s="1046"/>
      <c r="M164" s="1047"/>
    </row>
    <row r="165" spans="2:13" ht="25.5" customHeight="1" thickBot="1" x14ac:dyDescent="0.25">
      <c r="B165" s="637" t="s">
        <v>804</v>
      </c>
      <c r="C165" s="1089" t="s">
        <v>1348</v>
      </c>
      <c r="D165" s="1089"/>
      <c r="E165" s="1089"/>
      <c r="F165" s="1089"/>
      <c r="G165" s="1089"/>
      <c r="H165" s="281" t="s">
        <v>804</v>
      </c>
      <c r="I165" s="1089" t="s">
        <v>1348</v>
      </c>
      <c r="J165" s="1089"/>
      <c r="K165" s="1089"/>
      <c r="L165" s="1089"/>
      <c r="M165" s="1090"/>
    </row>
    <row r="166" spans="2:13" ht="9" customHeight="1" x14ac:dyDescent="0.2">
      <c r="B166" s="268"/>
      <c r="C166" s="268"/>
      <c r="D166" s="268"/>
      <c r="E166" s="268"/>
      <c r="F166" s="268"/>
      <c r="G166" s="268"/>
      <c r="H166" s="268"/>
      <c r="I166" s="268"/>
      <c r="J166" s="268"/>
      <c r="K166" s="268"/>
      <c r="L166" s="268"/>
      <c r="M166" s="268"/>
    </row>
    <row r="167" spans="2:13" ht="15.75" customHeight="1" thickBot="1" x14ac:dyDescent="0.25">
      <c r="B167" s="1121" t="s">
        <v>1228</v>
      </c>
      <c r="C167" s="1121"/>
      <c r="D167" s="1121"/>
      <c r="E167" s="1121"/>
      <c r="F167" s="1121"/>
      <c r="G167" s="1121"/>
      <c r="H167" s="1121"/>
      <c r="I167" s="1121"/>
      <c r="J167" s="1121"/>
      <c r="K167" s="1121"/>
      <c r="L167" s="1121"/>
      <c r="M167" s="1121"/>
    </row>
    <row r="168" spans="2:13" ht="12" customHeight="1" x14ac:dyDescent="0.2">
      <c r="B168" s="1050" t="s">
        <v>940</v>
      </c>
      <c r="C168" s="1051"/>
      <c r="D168" s="1051"/>
      <c r="E168" s="1041" t="s">
        <v>941</v>
      </c>
      <c r="F168" s="1108"/>
      <c r="G168" s="1108"/>
      <c r="H168" s="1108"/>
      <c r="I168" s="1108"/>
      <c r="J168" s="1041" t="s">
        <v>942</v>
      </c>
      <c r="K168" s="1041"/>
      <c r="L168" s="550" t="s">
        <v>505</v>
      </c>
      <c r="M168" s="568" t="s">
        <v>506</v>
      </c>
    </row>
    <row r="169" spans="2:13" ht="12" customHeight="1" x14ac:dyDescent="0.2">
      <c r="B169" s="1095"/>
      <c r="C169" s="1067"/>
      <c r="D169" s="1067"/>
      <c r="E169" s="1040"/>
      <c r="F169" s="1046"/>
      <c r="G169" s="1046"/>
      <c r="H169" s="1046"/>
      <c r="I169" s="1046"/>
      <c r="J169" s="1040"/>
      <c r="K169" s="1040"/>
      <c r="L169" s="279"/>
      <c r="M169" s="571"/>
    </row>
    <row r="170" spans="2:13" ht="12" customHeight="1" x14ac:dyDescent="0.2">
      <c r="B170" s="1026" t="s">
        <v>943</v>
      </c>
      <c r="C170" s="1027"/>
      <c r="D170" s="1027"/>
      <c r="E170" s="1028"/>
      <c r="F170" s="1040" t="s">
        <v>944</v>
      </c>
      <c r="G170" s="1040"/>
      <c r="H170" s="549" t="s">
        <v>505</v>
      </c>
      <c r="I170" s="549" t="s">
        <v>506</v>
      </c>
      <c r="J170" s="1040" t="s">
        <v>945</v>
      </c>
      <c r="K170" s="1040"/>
      <c r="L170" s="549" t="s">
        <v>505</v>
      </c>
      <c r="M170" s="567" t="s">
        <v>506</v>
      </c>
    </row>
    <row r="171" spans="2:13" ht="12" customHeight="1" x14ac:dyDescent="0.2">
      <c r="B171" s="1029"/>
      <c r="C171" s="1030"/>
      <c r="D171" s="1030"/>
      <c r="E171" s="1031"/>
      <c r="F171" s="1040"/>
      <c r="G171" s="1040"/>
      <c r="H171" s="279"/>
      <c r="I171" s="279"/>
      <c r="J171" s="1040"/>
      <c r="K171" s="1040"/>
      <c r="L171" s="279"/>
      <c r="M171" s="571"/>
    </row>
    <row r="172" spans="2:13" ht="12" customHeight="1" x14ac:dyDescent="0.2">
      <c r="B172" s="1106" t="s">
        <v>946</v>
      </c>
      <c r="C172" s="1107"/>
      <c r="D172" s="1107"/>
      <c r="E172" s="280" t="s">
        <v>947</v>
      </c>
      <c r="F172" s="1046"/>
      <c r="G172" s="1046"/>
      <c r="H172" s="280" t="s">
        <v>948</v>
      </c>
      <c r="I172" s="1046"/>
      <c r="J172" s="1046"/>
      <c r="K172" s="280" t="s">
        <v>949</v>
      </c>
      <c r="L172" s="1046"/>
      <c r="M172" s="1047"/>
    </row>
    <row r="173" spans="2:13" ht="27" customHeight="1" thickBot="1" x14ac:dyDescent="0.25">
      <c r="B173" s="533" t="s">
        <v>804</v>
      </c>
      <c r="C173" s="1089"/>
      <c r="D173" s="1089"/>
      <c r="E173" s="1089"/>
      <c r="F173" s="1089"/>
      <c r="G173" s="1089"/>
      <c r="H173" s="1089"/>
      <c r="I173" s="1089"/>
      <c r="J173" s="1089"/>
      <c r="K173" s="1089"/>
      <c r="L173" s="1089"/>
      <c r="M173" s="1090"/>
    </row>
    <row r="174" spans="2:13" ht="8.25" customHeight="1" x14ac:dyDescent="0.2">
      <c r="B174" s="269"/>
      <c r="C174" s="269"/>
      <c r="D174" s="269"/>
      <c r="E174" s="269"/>
      <c r="F174" s="269"/>
      <c r="G174" s="269"/>
      <c r="H174" s="269"/>
      <c r="I174" s="269"/>
      <c r="J174" s="269"/>
      <c r="K174" s="269"/>
      <c r="L174" s="266"/>
      <c r="M174" s="266"/>
    </row>
    <row r="175" spans="2:13" ht="16.5" customHeight="1" thickBot="1" x14ac:dyDescent="0.25">
      <c r="B175" s="1048" t="s">
        <v>950</v>
      </c>
      <c r="C175" s="1049"/>
      <c r="D175" s="1049"/>
      <c r="E175" s="1049"/>
      <c r="F175" s="1049"/>
      <c r="G175" s="1049"/>
      <c r="H175" s="1049"/>
      <c r="I175" s="1049"/>
      <c r="J175" s="1049"/>
      <c r="K175" s="1049"/>
      <c r="L175" s="1049"/>
      <c r="M175" s="1049"/>
    </row>
    <row r="176" spans="2:13" ht="15" customHeight="1" x14ac:dyDescent="0.2">
      <c r="B176" s="1050" t="s">
        <v>951</v>
      </c>
      <c r="C176" s="1051"/>
      <c r="D176" s="1052" t="s">
        <v>1276</v>
      </c>
      <c r="E176" s="1053"/>
      <c r="F176" s="1053"/>
      <c r="G176" s="1053"/>
      <c r="H176" s="1053"/>
      <c r="I176" s="1053"/>
      <c r="J176" s="1053"/>
      <c r="K176" s="1053"/>
      <c r="L176" s="1053"/>
      <c r="M176" s="1054"/>
    </row>
    <row r="177" spans="2:15" ht="14.1" customHeight="1" x14ac:dyDescent="0.2">
      <c r="B177" s="1095" t="s">
        <v>952</v>
      </c>
      <c r="C177" s="1067"/>
      <c r="D177" s="687" t="s">
        <v>295</v>
      </c>
      <c r="E177" s="279"/>
      <c r="F177" s="687" t="s">
        <v>296</v>
      </c>
      <c r="G177" s="279" t="s">
        <v>1230</v>
      </c>
      <c r="H177" s="1067" t="s">
        <v>953</v>
      </c>
      <c r="I177" s="1067"/>
      <c r="J177" s="687" t="s">
        <v>505</v>
      </c>
      <c r="K177" s="279"/>
      <c r="L177" s="687" t="s">
        <v>506</v>
      </c>
      <c r="M177" s="571" t="s">
        <v>1230</v>
      </c>
    </row>
    <row r="178" spans="2:15" ht="14.1" customHeight="1" x14ac:dyDescent="0.2">
      <c r="B178" s="1250"/>
      <c r="C178" s="1251"/>
      <c r="D178" s="1251"/>
      <c r="E178" s="1251"/>
      <c r="F178" s="1251"/>
      <c r="G178" s="1252"/>
      <c r="H178" s="1067" t="s">
        <v>1211</v>
      </c>
      <c r="I178" s="1067"/>
      <c r="J178" s="687" t="s">
        <v>1209</v>
      </c>
      <c r="K178" s="279"/>
      <c r="L178" s="687" t="s">
        <v>1210</v>
      </c>
      <c r="M178" s="571" t="s">
        <v>1230</v>
      </c>
    </row>
    <row r="179" spans="2:15" ht="14.1" customHeight="1" x14ac:dyDescent="0.2">
      <c r="B179" s="1055"/>
      <c r="C179" s="1056"/>
      <c r="D179" s="1056"/>
      <c r="E179" s="1056"/>
      <c r="F179" s="1056"/>
      <c r="G179" s="1056"/>
      <c r="H179" s="1056"/>
      <c r="I179" s="1056"/>
      <c r="J179" s="1056"/>
      <c r="K179" s="1056"/>
      <c r="L179" s="1056"/>
      <c r="M179" s="1057"/>
    </row>
    <row r="180" spans="2:15" ht="15" customHeight="1" x14ac:dyDescent="0.2">
      <c r="B180" s="1032" t="s">
        <v>1002</v>
      </c>
      <c r="C180" s="687" t="s">
        <v>1150</v>
      </c>
      <c r="D180" s="574">
        <v>44041</v>
      </c>
      <c r="E180" s="557" t="s">
        <v>1003</v>
      </c>
      <c r="F180" s="690" t="s">
        <v>520</v>
      </c>
      <c r="G180" s="690" t="s">
        <v>521</v>
      </c>
      <c r="H180" s="690" t="s">
        <v>606</v>
      </c>
      <c r="I180" s="690" t="s">
        <v>607</v>
      </c>
      <c r="J180" s="690" t="s">
        <v>608</v>
      </c>
      <c r="K180" s="690" t="s">
        <v>609</v>
      </c>
      <c r="L180" s="690" t="s">
        <v>610</v>
      </c>
      <c r="M180" s="691" t="s">
        <v>611</v>
      </c>
    </row>
    <row r="181" spans="2:15" ht="15" customHeight="1" x14ac:dyDescent="0.2">
      <c r="B181" s="1032"/>
      <c r="C181" s="687" t="s">
        <v>1151</v>
      </c>
      <c r="D181" s="575">
        <v>0.40902777777777777</v>
      </c>
      <c r="E181" s="557" t="s">
        <v>848</v>
      </c>
      <c r="F181" s="576" t="s">
        <v>1346</v>
      </c>
      <c r="G181" s="576" t="s">
        <v>1330</v>
      </c>
      <c r="H181" s="576" t="s">
        <v>1611</v>
      </c>
      <c r="I181" s="576" t="s">
        <v>1612</v>
      </c>
      <c r="J181" s="576" t="s">
        <v>1613</v>
      </c>
      <c r="K181" s="576" t="s">
        <v>1614</v>
      </c>
      <c r="L181" s="576" t="s">
        <v>1615</v>
      </c>
      <c r="M181" s="580" t="s">
        <v>1616</v>
      </c>
    </row>
    <row r="182" spans="2:15" ht="14.25" customHeight="1" x14ac:dyDescent="0.2">
      <c r="B182" s="1055"/>
      <c r="C182" s="1056"/>
      <c r="D182" s="1056"/>
      <c r="E182" s="1056"/>
      <c r="F182" s="1056"/>
      <c r="G182" s="1056"/>
      <c r="H182" s="1056"/>
      <c r="I182" s="1056"/>
      <c r="J182" s="1056"/>
      <c r="K182" s="1056"/>
      <c r="L182" s="1056"/>
      <c r="M182" s="1057"/>
    </row>
    <row r="183" spans="2:15" ht="21.75" customHeight="1" x14ac:dyDescent="0.2">
      <c r="B183" s="1118" t="s">
        <v>954</v>
      </c>
      <c r="C183" s="1040"/>
      <c r="D183" s="713" t="s">
        <v>521</v>
      </c>
      <c r="E183" s="688" t="s">
        <v>955</v>
      </c>
      <c r="F183" s="686" t="s">
        <v>1111</v>
      </c>
      <c r="G183" s="614" t="s">
        <v>468</v>
      </c>
      <c r="H183" s="688" t="s">
        <v>1204</v>
      </c>
      <c r="I183" s="686" t="s">
        <v>956</v>
      </c>
      <c r="J183" s="686" t="s">
        <v>957</v>
      </c>
      <c r="K183" s="688" t="s">
        <v>1205</v>
      </c>
      <c r="L183" s="686" t="s">
        <v>958</v>
      </c>
      <c r="M183" s="693" t="s">
        <v>959</v>
      </c>
    </row>
    <row r="184" spans="2:15" ht="14.1" customHeight="1" x14ac:dyDescent="0.2">
      <c r="B184" s="692" t="s">
        <v>960</v>
      </c>
      <c r="C184" s="686" t="s">
        <v>961</v>
      </c>
      <c r="D184" s="686" t="s">
        <v>962</v>
      </c>
      <c r="E184" s="1112" t="s">
        <v>1332</v>
      </c>
      <c r="F184" s="1109">
        <v>2.1110000000000002</v>
      </c>
      <c r="G184" s="1115"/>
      <c r="H184" s="1060">
        <v>0.94</v>
      </c>
      <c r="I184" s="644">
        <v>-1E-3</v>
      </c>
      <c r="J184" s="1109"/>
      <c r="K184" s="1060"/>
      <c r="L184" s="644"/>
      <c r="M184" s="647"/>
    </row>
    <row r="185" spans="2:15" ht="14.1" customHeight="1" x14ac:dyDescent="0.2">
      <c r="B185" s="640">
        <v>57.73</v>
      </c>
      <c r="C185" s="641">
        <v>57.78</v>
      </c>
      <c r="D185" s="642">
        <v>57.71</v>
      </c>
      <c r="E185" s="1113"/>
      <c r="F185" s="1110"/>
      <c r="G185" s="1116"/>
      <c r="H185" s="1061"/>
      <c r="I185" s="645">
        <v>-1.1000000000000001E-3</v>
      </c>
      <c r="J185" s="1110"/>
      <c r="K185" s="1061"/>
      <c r="L185" s="645"/>
      <c r="M185" s="648"/>
    </row>
    <row r="186" spans="2:15" ht="14.1" customHeight="1" x14ac:dyDescent="0.2">
      <c r="B186" s="638">
        <v>2.5099999999999998</v>
      </c>
      <c r="C186" s="694">
        <v>2.52</v>
      </c>
      <c r="D186" s="639">
        <v>2.5299999999999998</v>
      </c>
      <c r="E186" s="1114"/>
      <c r="F186" s="1111"/>
      <c r="G186" s="1117"/>
      <c r="H186" s="643"/>
      <c r="I186" s="646">
        <v>-1.1999999999999999E-3</v>
      </c>
      <c r="J186" s="1111"/>
      <c r="K186" s="643"/>
      <c r="L186" s="646"/>
      <c r="M186" s="649"/>
    </row>
    <row r="187" spans="2:15" ht="14.1" customHeight="1" x14ac:dyDescent="0.2">
      <c r="B187" s="692" t="s">
        <v>960</v>
      </c>
      <c r="C187" s="686" t="s">
        <v>961</v>
      </c>
      <c r="D187" s="686" t="s">
        <v>962</v>
      </c>
      <c r="E187" s="1112" t="s">
        <v>1332</v>
      </c>
      <c r="F187" s="1109">
        <v>2.1120000000000001</v>
      </c>
      <c r="G187" s="1115"/>
      <c r="H187" s="1060">
        <v>0.95</v>
      </c>
      <c r="I187" s="644">
        <v>-1.2999999999999999E-3</v>
      </c>
      <c r="J187" s="1109"/>
      <c r="K187" s="1060"/>
      <c r="L187" s="644"/>
      <c r="M187" s="647"/>
    </row>
    <row r="188" spans="2:15" ht="14.1" customHeight="1" x14ac:dyDescent="0.2">
      <c r="B188" s="640">
        <v>57.6</v>
      </c>
      <c r="C188" s="641">
        <v>57.69</v>
      </c>
      <c r="D188" s="642">
        <v>57.78</v>
      </c>
      <c r="E188" s="1113"/>
      <c r="F188" s="1110"/>
      <c r="G188" s="1116"/>
      <c r="H188" s="1061"/>
      <c r="I188" s="645">
        <v>-1.4E-3</v>
      </c>
      <c r="J188" s="1110"/>
      <c r="K188" s="1061"/>
      <c r="L188" s="645"/>
      <c r="M188" s="648"/>
    </row>
    <row r="189" spans="2:15" ht="14.1" customHeight="1" x14ac:dyDescent="0.2">
      <c r="B189" s="638">
        <v>3.27</v>
      </c>
      <c r="C189" s="694">
        <v>3.3410000000000002</v>
      </c>
      <c r="D189" s="639">
        <v>3.2749999999999999</v>
      </c>
      <c r="E189" s="1114"/>
      <c r="F189" s="1111"/>
      <c r="G189" s="1117"/>
      <c r="H189" s="643"/>
      <c r="I189" s="646">
        <v>1.5E-3</v>
      </c>
      <c r="J189" s="1111"/>
      <c r="K189" s="643"/>
      <c r="L189" s="646"/>
      <c r="M189" s="649"/>
    </row>
    <row r="190" spans="2:15" ht="14.1" customHeight="1" x14ac:dyDescent="0.2">
      <c r="B190" s="692" t="s">
        <v>960</v>
      </c>
      <c r="C190" s="686" t="s">
        <v>961</v>
      </c>
      <c r="D190" s="686" t="s">
        <v>962</v>
      </c>
      <c r="E190" s="1112" t="s">
        <v>1332</v>
      </c>
      <c r="F190" s="1109">
        <v>2.113</v>
      </c>
      <c r="G190" s="1115"/>
      <c r="H190" s="1060">
        <v>0.96</v>
      </c>
      <c r="I190" s="644">
        <v>1.6000000000000001E-3</v>
      </c>
      <c r="J190" s="1109"/>
      <c r="K190" s="1060"/>
      <c r="L190" s="644"/>
      <c r="M190" s="647"/>
      <c r="O190" s="711"/>
    </row>
    <row r="191" spans="2:15" ht="14.1" customHeight="1" x14ac:dyDescent="0.2">
      <c r="B191" s="640">
        <v>57.85</v>
      </c>
      <c r="C191" s="641">
        <v>57.77</v>
      </c>
      <c r="D191" s="642">
        <v>57.81</v>
      </c>
      <c r="E191" s="1113"/>
      <c r="F191" s="1110"/>
      <c r="G191" s="1116"/>
      <c r="H191" s="1061"/>
      <c r="I191" s="645">
        <v>1.6999999999999999E-3</v>
      </c>
      <c r="J191" s="1110"/>
      <c r="K191" s="1061"/>
      <c r="L191" s="645"/>
      <c r="M191" s="648"/>
    </row>
    <row r="192" spans="2:15" ht="14.1" customHeight="1" x14ac:dyDescent="0.2">
      <c r="B192" s="638">
        <v>3.2759999999999998</v>
      </c>
      <c r="C192" s="694">
        <v>3.3359999999999999</v>
      </c>
      <c r="D192" s="639">
        <v>3.27</v>
      </c>
      <c r="E192" s="1114"/>
      <c r="F192" s="1111"/>
      <c r="G192" s="1117"/>
      <c r="H192" s="643"/>
      <c r="I192" s="646">
        <v>1.8E-3</v>
      </c>
      <c r="J192" s="1111"/>
      <c r="K192" s="643"/>
      <c r="L192" s="646"/>
      <c r="M192" s="649"/>
    </row>
    <row r="193" spans="2:13" ht="14.1" customHeight="1" x14ac:dyDescent="0.2">
      <c r="B193" s="692" t="s">
        <v>960</v>
      </c>
      <c r="C193" s="686" t="s">
        <v>961</v>
      </c>
      <c r="D193" s="686" t="s">
        <v>962</v>
      </c>
      <c r="E193" s="1112" t="s">
        <v>1332</v>
      </c>
      <c r="F193" s="1109">
        <v>2.1139999999999999</v>
      </c>
      <c r="G193" s="1115"/>
      <c r="H193" s="1060">
        <v>0.97</v>
      </c>
      <c r="I193" s="644">
        <v>-1.9E-3</v>
      </c>
      <c r="J193" s="1109"/>
      <c r="K193" s="1060"/>
      <c r="L193" s="644"/>
      <c r="M193" s="647"/>
    </row>
    <row r="194" spans="2:13" ht="14.1" customHeight="1" x14ac:dyDescent="0.2">
      <c r="B194" s="640">
        <v>57.7</v>
      </c>
      <c r="C194" s="641">
        <v>57.7</v>
      </c>
      <c r="D194" s="642">
        <v>57.77</v>
      </c>
      <c r="E194" s="1113"/>
      <c r="F194" s="1110"/>
      <c r="G194" s="1116"/>
      <c r="H194" s="1061"/>
      <c r="I194" s="645">
        <v>2E-3</v>
      </c>
      <c r="J194" s="1110"/>
      <c r="K194" s="1061"/>
      <c r="L194" s="645"/>
      <c r="M194" s="648"/>
    </row>
    <row r="195" spans="2:13" ht="14.1" customHeight="1" x14ac:dyDescent="0.2">
      <c r="B195" s="638">
        <v>3.286</v>
      </c>
      <c r="C195" s="694">
        <v>3.3319999999999999</v>
      </c>
      <c r="D195" s="639">
        <v>3.2690000000000001</v>
      </c>
      <c r="E195" s="1114"/>
      <c r="F195" s="1111"/>
      <c r="G195" s="1117"/>
      <c r="H195" s="643"/>
      <c r="I195" s="646">
        <v>-2.0999999999999999E-3</v>
      </c>
      <c r="J195" s="1111"/>
      <c r="K195" s="643"/>
      <c r="L195" s="646"/>
      <c r="M195" s="649"/>
    </row>
    <row r="196" spans="2:13" ht="14.1" customHeight="1" x14ac:dyDescent="0.2">
      <c r="B196" s="692" t="s">
        <v>960</v>
      </c>
      <c r="C196" s="686" t="s">
        <v>961</v>
      </c>
      <c r="D196" s="686" t="s">
        <v>962</v>
      </c>
      <c r="E196" s="1112" t="s">
        <v>1332</v>
      </c>
      <c r="F196" s="1109">
        <v>2.1150000000000002</v>
      </c>
      <c r="G196" s="1115"/>
      <c r="H196" s="1060">
        <v>0.98</v>
      </c>
      <c r="I196" s="644">
        <v>-2.2000000000000001E-3</v>
      </c>
      <c r="J196" s="1109"/>
      <c r="K196" s="1060"/>
      <c r="L196" s="644"/>
      <c r="M196" s="647"/>
    </row>
    <row r="197" spans="2:13" ht="14.1" customHeight="1" x14ac:dyDescent="0.2">
      <c r="B197" s="640">
        <v>57.7</v>
      </c>
      <c r="C197" s="641">
        <v>57.7</v>
      </c>
      <c r="D197" s="642">
        <v>57.77</v>
      </c>
      <c r="E197" s="1113"/>
      <c r="F197" s="1110"/>
      <c r="G197" s="1116"/>
      <c r="H197" s="1061"/>
      <c r="I197" s="645">
        <v>2.3E-3</v>
      </c>
      <c r="J197" s="1110"/>
      <c r="K197" s="1061"/>
      <c r="L197" s="645"/>
      <c r="M197" s="648"/>
    </row>
    <row r="198" spans="2:13" ht="13.5" customHeight="1" x14ac:dyDescent="0.2">
      <c r="B198" s="638">
        <v>3.286</v>
      </c>
      <c r="C198" s="694">
        <v>3.3319999999999999</v>
      </c>
      <c r="D198" s="639">
        <v>3.2690000000000001</v>
      </c>
      <c r="E198" s="1114"/>
      <c r="F198" s="1111"/>
      <c r="G198" s="1117"/>
      <c r="H198" s="643"/>
      <c r="I198" s="646">
        <v>2.3999999999999998E-3</v>
      </c>
      <c r="J198" s="1111"/>
      <c r="K198" s="643"/>
      <c r="L198" s="646"/>
      <c r="M198" s="649"/>
    </row>
    <row r="199" spans="2:13" ht="14.1" customHeight="1" x14ac:dyDescent="0.2">
      <c r="B199" s="692" t="s">
        <v>960</v>
      </c>
      <c r="C199" s="686" t="s">
        <v>961</v>
      </c>
      <c r="D199" s="686" t="s">
        <v>962</v>
      </c>
      <c r="E199" s="1112" t="s">
        <v>1332</v>
      </c>
      <c r="F199" s="1109">
        <v>2.1160000000000001</v>
      </c>
      <c r="G199" s="1115"/>
      <c r="H199" s="1060">
        <v>0.99</v>
      </c>
      <c r="I199" s="644">
        <v>2.5000000000000001E-3</v>
      </c>
      <c r="J199" s="1109"/>
      <c r="K199" s="1060"/>
      <c r="L199" s="644"/>
      <c r="M199" s="647"/>
    </row>
    <row r="200" spans="2:13" ht="13.5" customHeight="1" x14ac:dyDescent="0.2">
      <c r="B200" s="640">
        <v>57.74</v>
      </c>
      <c r="C200" s="641">
        <v>57.73</v>
      </c>
      <c r="D200" s="642">
        <v>57.71</v>
      </c>
      <c r="E200" s="1113"/>
      <c r="F200" s="1110"/>
      <c r="G200" s="1116"/>
      <c r="H200" s="1061"/>
      <c r="I200" s="645">
        <v>2.5999999999999999E-3</v>
      </c>
      <c r="J200" s="1110"/>
      <c r="K200" s="1061"/>
      <c r="L200" s="645"/>
      <c r="M200" s="648"/>
    </row>
    <row r="201" spans="2:13" ht="14.1" customHeight="1" x14ac:dyDescent="0.2">
      <c r="B201" s="638">
        <v>3.2719999999999998</v>
      </c>
      <c r="C201" s="694">
        <v>3.343</v>
      </c>
      <c r="D201" s="639">
        <v>3.2629999999999999</v>
      </c>
      <c r="E201" s="1114"/>
      <c r="F201" s="1111"/>
      <c r="G201" s="1117"/>
      <c r="H201" s="643"/>
      <c r="I201" s="646">
        <v>-2.7000000000000001E-3</v>
      </c>
      <c r="J201" s="1111"/>
      <c r="K201" s="643"/>
      <c r="L201" s="646"/>
      <c r="M201" s="649"/>
    </row>
    <row r="202" spans="2:13" x14ac:dyDescent="0.2">
      <c r="B202" s="1055"/>
      <c r="C202" s="1056"/>
      <c r="D202" s="1056"/>
      <c r="E202" s="1056"/>
      <c r="F202" s="1056"/>
      <c r="G202" s="1056"/>
      <c r="H202" s="1056"/>
      <c r="I202" s="1056"/>
      <c r="J202" s="1056"/>
      <c r="K202" s="1056"/>
      <c r="L202" s="1056"/>
      <c r="M202" s="1057"/>
    </row>
    <row r="203" spans="2:13" ht="14.1" customHeight="1" x14ac:dyDescent="0.2">
      <c r="B203" s="1032" t="s">
        <v>1121</v>
      </c>
      <c r="C203" s="687" t="s">
        <v>1152</v>
      </c>
      <c r="D203" s="574">
        <v>44041</v>
      </c>
      <c r="E203" s="557" t="s">
        <v>1003</v>
      </c>
      <c r="F203" s="690" t="s">
        <v>520</v>
      </c>
      <c r="G203" s="690" t="s">
        <v>521</v>
      </c>
      <c r="H203" s="690" t="s">
        <v>606</v>
      </c>
      <c r="I203" s="690" t="s">
        <v>607</v>
      </c>
      <c r="J203" s="690" t="s">
        <v>608</v>
      </c>
      <c r="K203" s="690" t="s">
        <v>609</v>
      </c>
      <c r="L203" s="690" t="s">
        <v>610</v>
      </c>
      <c r="M203" s="691" t="s">
        <v>611</v>
      </c>
    </row>
    <row r="204" spans="2:13" ht="14.1" customHeight="1" x14ac:dyDescent="0.2">
      <c r="B204" s="1032"/>
      <c r="C204" s="687" t="s">
        <v>1153</v>
      </c>
      <c r="D204" s="575">
        <v>0.42708333333333331</v>
      </c>
      <c r="E204" s="557" t="s">
        <v>848</v>
      </c>
      <c r="F204" s="576" t="s">
        <v>1623</v>
      </c>
      <c r="G204" s="576" t="s">
        <v>1331</v>
      </c>
      <c r="H204" s="576" t="s">
        <v>1624</v>
      </c>
      <c r="I204" s="576" t="s">
        <v>1625</v>
      </c>
      <c r="J204" s="576" t="s">
        <v>1626</v>
      </c>
      <c r="K204" s="576" t="s">
        <v>1627</v>
      </c>
      <c r="L204" s="576" t="s">
        <v>1628</v>
      </c>
      <c r="M204" s="580" t="s">
        <v>1629</v>
      </c>
    </row>
    <row r="205" spans="2:13" ht="14.1" customHeight="1" x14ac:dyDescent="0.2">
      <c r="B205" s="1055"/>
      <c r="C205" s="1056"/>
      <c r="D205" s="1056"/>
      <c r="E205" s="1056"/>
      <c r="F205" s="1056"/>
      <c r="G205" s="1056"/>
      <c r="H205" s="1056"/>
      <c r="I205" s="1056"/>
      <c r="J205" s="1056"/>
      <c r="K205" s="1056"/>
      <c r="L205" s="1056"/>
      <c r="M205" s="1057"/>
    </row>
    <row r="206" spans="2:13" ht="14.1" customHeight="1" x14ac:dyDescent="0.2">
      <c r="B206" s="1104" t="s">
        <v>963</v>
      </c>
      <c r="C206" s="1105"/>
      <c r="D206" s="687" t="s">
        <v>505</v>
      </c>
      <c r="E206" s="279" t="s">
        <v>1230</v>
      </c>
      <c r="F206" s="687" t="s">
        <v>506</v>
      </c>
      <c r="G206" s="279"/>
      <c r="H206" s="280" t="s">
        <v>964</v>
      </c>
      <c r="I206" s="1101"/>
      <c r="J206" s="1101"/>
      <c r="K206" s="1101"/>
      <c r="L206" s="1101"/>
      <c r="M206" s="1102"/>
    </row>
    <row r="207" spans="2:13" ht="27" customHeight="1" thickBot="1" x14ac:dyDescent="0.25">
      <c r="B207" s="689" t="s">
        <v>804</v>
      </c>
      <c r="C207" s="1089"/>
      <c r="D207" s="1089"/>
      <c r="E207" s="1089"/>
      <c r="F207" s="1089"/>
      <c r="G207" s="1089"/>
      <c r="H207" s="1089"/>
      <c r="I207" s="1089"/>
      <c r="J207" s="1089"/>
      <c r="K207" s="1089"/>
      <c r="L207" s="1089"/>
      <c r="M207" s="1090"/>
    </row>
    <row r="208" spans="2:13" ht="9" customHeight="1" x14ac:dyDescent="0.2"/>
    <row r="209" spans="2:13" ht="17.25" customHeight="1" thickBot="1" x14ac:dyDescent="0.25">
      <c r="B209" s="1048" t="s">
        <v>979</v>
      </c>
      <c r="C209" s="1048"/>
      <c r="D209" s="1048"/>
      <c r="E209" s="1048"/>
      <c r="F209" s="1048"/>
      <c r="G209" s="1048"/>
      <c r="H209" s="1048"/>
      <c r="I209" s="1048"/>
      <c r="J209" s="1048"/>
      <c r="K209" s="1048"/>
      <c r="L209" s="1048"/>
      <c r="M209" s="1048"/>
    </row>
    <row r="210" spans="2:13" ht="13.5" customHeight="1" x14ac:dyDescent="0.2">
      <c r="B210" s="1050" t="s">
        <v>1000</v>
      </c>
      <c r="C210" s="1051"/>
      <c r="D210" s="616" t="s">
        <v>505</v>
      </c>
      <c r="E210" s="586" t="s">
        <v>1230</v>
      </c>
      <c r="F210" s="616" t="s">
        <v>506</v>
      </c>
      <c r="G210" s="586"/>
      <c r="H210" s="1051" t="s">
        <v>980</v>
      </c>
      <c r="I210" s="1051"/>
      <c r="J210" s="616" t="s">
        <v>535</v>
      </c>
      <c r="K210" s="586"/>
      <c r="L210" s="616" t="s">
        <v>534</v>
      </c>
      <c r="M210" s="595" t="s">
        <v>1230</v>
      </c>
    </row>
    <row r="211" spans="2:13" ht="11.25" customHeight="1" x14ac:dyDescent="0.2">
      <c r="B211" s="1095" t="s">
        <v>981</v>
      </c>
      <c r="C211" s="1067"/>
      <c r="D211" s="1103">
        <v>57.7</v>
      </c>
      <c r="E211" s="1103"/>
      <c r="F211" s="1103"/>
      <c r="G211" s="1103"/>
      <c r="H211" s="1067" t="s">
        <v>952</v>
      </c>
      <c r="I211" s="1067"/>
      <c r="J211" s="623" t="s">
        <v>295</v>
      </c>
      <c r="K211" s="279"/>
      <c r="L211" s="623" t="s">
        <v>296</v>
      </c>
      <c r="M211" s="571" t="s">
        <v>1230</v>
      </c>
    </row>
    <row r="212" spans="2:13" ht="11.25" customHeight="1" x14ac:dyDescent="0.2">
      <c r="B212" s="1250"/>
      <c r="C212" s="1251"/>
      <c r="D212" s="1251"/>
      <c r="E212" s="1251"/>
      <c r="F212" s="1251"/>
      <c r="G212" s="1252"/>
      <c r="H212" s="1067" t="s">
        <v>1211</v>
      </c>
      <c r="I212" s="1067"/>
      <c r="J212" s="687" t="s">
        <v>1209</v>
      </c>
      <c r="K212" s="279"/>
      <c r="L212" s="687" t="s">
        <v>1210</v>
      </c>
      <c r="M212" s="571" t="s">
        <v>1230</v>
      </c>
    </row>
    <row r="213" spans="2:13" ht="11.25" customHeight="1" x14ac:dyDescent="0.2">
      <c r="B213" s="1055"/>
      <c r="C213" s="1056"/>
      <c r="D213" s="1056"/>
      <c r="E213" s="1056"/>
      <c r="F213" s="1056"/>
      <c r="G213" s="1056"/>
      <c r="H213" s="1056"/>
      <c r="I213" s="1056"/>
      <c r="J213" s="1056"/>
      <c r="K213" s="1056"/>
      <c r="L213" s="1056"/>
      <c r="M213" s="1057"/>
    </row>
    <row r="214" spans="2:13" ht="15.75" customHeight="1" x14ac:dyDescent="0.2">
      <c r="B214" s="1032" t="s">
        <v>1008</v>
      </c>
      <c r="C214" s="623" t="s">
        <v>1150</v>
      </c>
      <c r="D214" s="574">
        <v>44041</v>
      </c>
      <c r="E214" s="557" t="s">
        <v>1003</v>
      </c>
      <c r="F214" s="716" t="s">
        <v>520</v>
      </c>
      <c r="G214" s="716" t="s">
        <v>521</v>
      </c>
      <c r="H214" s="716" t="s">
        <v>606</v>
      </c>
      <c r="I214" s="716" t="s">
        <v>607</v>
      </c>
      <c r="J214" s="716" t="s">
        <v>608</v>
      </c>
      <c r="K214" s="716" t="s">
        <v>609</v>
      </c>
      <c r="L214" s="716" t="s">
        <v>610</v>
      </c>
      <c r="M214" s="717" t="s">
        <v>611</v>
      </c>
    </row>
    <row r="215" spans="2:13" ht="15.75" customHeight="1" x14ac:dyDescent="0.2">
      <c r="B215" s="1032"/>
      <c r="C215" s="623" t="s">
        <v>1151</v>
      </c>
      <c r="D215" s="575">
        <v>0.42777777777777781</v>
      </c>
      <c r="E215" s="557" t="s">
        <v>848</v>
      </c>
      <c r="F215" s="576" t="s">
        <v>1630</v>
      </c>
      <c r="G215" s="576" t="s">
        <v>1334</v>
      </c>
      <c r="H215" s="576" t="s">
        <v>1631</v>
      </c>
      <c r="I215" s="576" t="s">
        <v>1632</v>
      </c>
      <c r="J215" s="576" t="s">
        <v>1633</v>
      </c>
      <c r="K215" s="576" t="s">
        <v>1634</v>
      </c>
      <c r="L215" s="576" t="s">
        <v>1635</v>
      </c>
      <c r="M215" s="580" t="s">
        <v>1636</v>
      </c>
    </row>
    <row r="216" spans="2:13" ht="11.25" customHeight="1" x14ac:dyDescent="0.2">
      <c r="B216" s="596"/>
      <c r="C216" s="587"/>
      <c r="D216" s="588"/>
      <c r="E216" s="583"/>
      <c r="F216" s="589"/>
      <c r="G216" s="589"/>
      <c r="H216" s="581"/>
      <c r="I216" s="590"/>
      <c r="J216" s="589"/>
      <c r="K216" s="590"/>
      <c r="L216" s="590"/>
      <c r="M216" s="597"/>
    </row>
    <row r="217" spans="2:13" ht="11.25" customHeight="1" x14ac:dyDescent="0.2">
      <c r="B217" s="530" t="s">
        <v>1055</v>
      </c>
      <c r="C217" s="1062"/>
      <c r="D217" s="1062"/>
      <c r="E217" s="1062"/>
      <c r="F217" s="531" t="s">
        <v>1056</v>
      </c>
      <c r="G217" s="470" t="s">
        <v>1261</v>
      </c>
      <c r="H217" s="531" t="s">
        <v>1057</v>
      </c>
      <c r="I217" s="618" t="s">
        <v>1261</v>
      </c>
      <c r="J217" s="1076" t="s">
        <v>982</v>
      </c>
      <c r="K217" s="1076"/>
      <c r="L217" s="1076"/>
      <c r="M217" s="469" t="s">
        <v>1261</v>
      </c>
    </row>
    <row r="218" spans="2:13" ht="7.5" customHeight="1" x14ac:dyDescent="0.2">
      <c r="B218" s="582"/>
      <c r="C218" s="581"/>
      <c r="D218" s="581"/>
      <c r="E218" s="581"/>
      <c r="F218" s="591"/>
      <c r="G218" s="592"/>
      <c r="H218" s="593"/>
      <c r="I218" s="593"/>
      <c r="J218" s="593"/>
      <c r="K218" s="592"/>
      <c r="L218" s="593"/>
      <c r="M218" s="598"/>
    </row>
    <row r="219" spans="2:13" ht="11.25" customHeight="1" x14ac:dyDescent="0.2">
      <c r="B219" s="1077"/>
      <c r="C219" s="1078"/>
      <c r="D219" s="1079" t="s">
        <v>983</v>
      </c>
      <c r="E219" s="1081" t="s">
        <v>955</v>
      </c>
      <c r="F219" s="615" t="s">
        <v>984</v>
      </c>
      <c r="G219" s="1082" t="s">
        <v>520</v>
      </c>
      <c r="H219" s="1082"/>
      <c r="I219" s="1081" t="s">
        <v>955</v>
      </c>
      <c r="J219" s="615" t="s">
        <v>984</v>
      </c>
      <c r="K219" s="1082" t="s">
        <v>521</v>
      </c>
      <c r="L219" s="1082"/>
      <c r="M219" s="599"/>
    </row>
    <row r="220" spans="2:13" ht="11.25" customHeight="1" x14ac:dyDescent="0.2">
      <c r="B220" s="532" t="s">
        <v>985</v>
      </c>
      <c r="C220" s="621" t="s">
        <v>986</v>
      </c>
      <c r="D220" s="1080"/>
      <c r="E220" s="1081"/>
      <c r="F220" s="615" t="s">
        <v>987</v>
      </c>
      <c r="G220" s="615" t="s">
        <v>988</v>
      </c>
      <c r="H220" s="615" t="s">
        <v>989</v>
      </c>
      <c r="I220" s="1081"/>
      <c r="J220" s="615" t="s">
        <v>987</v>
      </c>
      <c r="K220" s="615" t="s">
        <v>988</v>
      </c>
      <c r="L220" s="615" t="s">
        <v>989</v>
      </c>
      <c r="M220" s="622" t="s">
        <v>959</v>
      </c>
    </row>
    <row r="221" spans="2:13" ht="12.75" customHeight="1" x14ac:dyDescent="0.2">
      <c r="B221" s="617" t="s">
        <v>1027</v>
      </c>
      <c r="C221" s="594">
        <v>0.25</v>
      </c>
      <c r="D221" s="615">
        <v>1</v>
      </c>
      <c r="E221" s="654" t="s">
        <v>1349</v>
      </c>
      <c r="F221" s="657">
        <v>1E-4</v>
      </c>
      <c r="G221" s="650">
        <v>1E-4</v>
      </c>
      <c r="H221" s="658">
        <v>1E-4</v>
      </c>
      <c r="I221" s="664" t="s">
        <v>1349</v>
      </c>
      <c r="J221" s="670">
        <v>1E-3</v>
      </c>
      <c r="K221" s="651">
        <v>1E-3</v>
      </c>
      <c r="L221" s="658">
        <v>1E-3</v>
      </c>
      <c r="M221" s="667"/>
    </row>
    <row r="222" spans="2:13" ht="12.75" customHeight="1" x14ac:dyDescent="0.2">
      <c r="B222" s="617" t="s">
        <v>1027</v>
      </c>
      <c r="C222" s="594">
        <v>0.25</v>
      </c>
      <c r="D222" s="615" t="s">
        <v>990</v>
      </c>
      <c r="E222" s="655" t="s">
        <v>1349</v>
      </c>
      <c r="F222" s="659">
        <v>2.0000000000000001E-4</v>
      </c>
      <c r="G222" s="652">
        <v>2.0000000000000001E-4</v>
      </c>
      <c r="H222" s="660">
        <v>2.0000000000000001E-4</v>
      </c>
      <c r="I222" s="665" t="s">
        <v>1349</v>
      </c>
      <c r="J222" s="661">
        <v>1.1000000000000001E-3</v>
      </c>
      <c r="K222" s="652">
        <v>1.1000000000000001E-3</v>
      </c>
      <c r="L222" s="660">
        <v>1.1000000000000001E-3</v>
      </c>
      <c r="M222" s="668"/>
    </row>
    <row r="223" spans="2:13" ht="12.75" customHeight="1" x14ac:dyDescent="0.2">
      <c r="B223" s="617" t="s">
        <v>1028</v>
      </c>
      <c r="C223" s="594">
        <v>1</v>
      </c>
      <c r="D223" s="615">
        <v>1</v>
      </c>
      <c r="E223" s="655" t="s">
        <v>1349</v>
      </c>
      <c r="F223" s="661">
        <v>2.9999999999999997E-4</v>
      </c>
      <c r="G223" s="652">
        <v>2.9999999999999997E-4</v>
      </c>
      <c r="H223" s="660">
        <v>2.9999999999999997E-4</v>
      </c>
      <c r="I223" s="665" t="s">
        <v>1349</v>
      </c>
      <c r="J223" s="661">
        <v>1.1999999999999999E-3</v>
      </c>
      <c r="K223" s="652">
        <v>1.1999999999999999E-3</v>
      </c>
      <c r="L223" s="660">
        <v>1.1999999999999999E-3</v>
      </c>
      <c r="M223" s="668"/>
    </row>
    <row r="224" spans="2:13" ht="12.75" customHeight="1" x14ac:dyDescent="0.2">
      <c r="B224" s="617" t="s">
        <v>1028</v>
      </c>
      <c r="C224" s="594">
        <v>1</v>
      </c>
      <c r="D224" s="615" t="s">
        <v>990</v>
      </c>
      <c r="E224" s="655" t="s">
        <v>1349</v>
      </c>
      <c r="F224" s="659">
        <v>4.0000000000000002E-4</v>
      </c>
      <c r="G224" s="652">
        <v>4.0000000000000002E-4</v>
      </c>
      <c r="H224" s="660">
        <v>4.0000000000000002E-4</v>
      </c>
      <c r="I224" s="665" t="s">
        <v>1349</v>
      </c>
      <c r="J224" s="661">
        <v>1.2999999999999999E-3</v>
      </c>
      <c r="K224" s="652">
        <v>1.2999999999999999E-3</v>
      </c>
      <c r="L224" s="660">
        <v>1.2999999999999999E-3</v>
      </c>
      <c r="M224" s="668"/>
    </row>
    <row r="225" spans="2:15" ht="12.75" customHeight="1" x14ac:dyDescent="0.2">
      <c r="B225" s="617" t="s">
        <v>1029</v>
      </c>
      <c r="C225" s="594">
        <v>5</v>
      </c>
      <c r="D225" s="615">
        <v>1</v>
      </c>
      <c r="E225" s="655" t="s">
        <v>1349</v>
      </c>
      <c r="F225" s="661">
        <v>5.0000000000000001E-4</v>
      </c>
      <c r="G225" s="652">
        <v>5.0000000000000001E-4</v>
      </c>
      <c r="H225" s="660">
        <v>5.0000000000000001E-4</v>
      </c>
      <c r="I225" s="665" t="s">
        <v>1349</v>
      </c>
      <c r="J225" s="661">
        <v>1.4E-3</v>
      </c>
      <c r="K225" s="652">
        <v>1.4E-3</v>
      </c>
      <c r="L225" s="660">
        <v>1.4E-3</v>
      </c>
      <c r="M225" s="668"/>
    </row>
    <row r="226" spans="2:15" ht="12.75" customHeight="1" x14ac:dyDescent="0.2">
      <c r="B226" s="617" t="s">
        <v>1029</v>
      </c>
      <c r="C226" s="594">
        <v>5</v>
      </c>
      <c r="D226" s="615" t="s">
        <v>990</v>
      </c>
      <c r="E226" s="655" t="s">
        <v>1349</v>
      </c>
      <c r="F226" s="661">
        <v>5.9999999999999995E-4</v>
      </c>
      <c r="G226" s="652">
        <v>5.9999999999999995E-4</v>
      </c>
      <c r="H226" s="660">
        <v>5.9999999999999995E-4</v>
      </c>
      <c r="I226" s="665" t="s">
        <v>1349</v>
      </c>
      <c r="J226" s="661">
        <v>1.5E-3</v>
      </c>
      <c r="K226" s="652">
        <v>1.5E-3</v>
      </c>
      <c r="L226" s="660">
        <v>1.5E-3</v>
      </c>
      <c r="M226" s="668"/>
    </row>
    <row r="227" spans="2:15" ht="12.75" customHeight="1" x14ac:dyDescent="0.2">
      <c r="B227" s="617" t="s">
        <v>1030</v>
      </c>
      <c r="C227" s="594">
        <v>6</v>
      </c>
      <c r="D227" s="615">
        <v>1</v>
      </c>
      <c r="E227" s="655" t="s">
        <v>1349</v>
      </c>
      <c r="F227" s="661">
        <v>6.9999999999999999E-4</v>
      </c>
      <c r="G227" s="652">
        <v>6.9999999999999999E-4</v>
      </c>
      <c r="H227" s="660">
        <v>6.9999999999999999E-4</v>
      </c>
      <c r="I227" s="665" t="s">
        <v>1349</v>
      </c>
      <c r="J227" s="661">
        <v>1.6000000000000001E-3</v>
      </c>
      <c r="K227" s="652">
        <v>1.6000000000000001E-3</v>
      </c>
      <c r="L227" s="660">
        <v>1.6000000000000001E-3</v>
      </c>
      <c r="M227" s="668"/>
    </row>
    <row r="228" spans="2:15" ht="12.75" customHeight="1" x14ac:dyDescent="0.2">
      <c r="B228" s="617" t="s">
        <v>1030</v>
      </c>
      <c r="C228" s="594">
        <v>6</v>
      </c>
      <c r="D228" s="615" t="s">
        <v>990</v>
      </c>
      <c r="E228" s="655" t="s">
        <v>1349</v>
      </c>
      <c r="F228" s="661">
        <v>8.0000000000000004E-4</v>
      </c>
      <c r="G228" s="652">
        <v>8.0000000000000004E-4</v>
      </c>
      <c r="H228" s="660">
        <v>8.0000000000000004E-4</v>
      </c>
      <c r="I228" s="665" t="s">
        <v>1349</v>
      </c>
      <c r="J228" s="661">
        <v>1.6999999999999999E-3</v>
      </c>
      <c r="K228" s="652">
        <v>1.6999999999999999E-3</v>
      </c>
      <c r="L228" s="660">
        <v>1.6999999999999999E-3</v>
      </c>
      <c r="M228" s="668"/>
    </row>
    <row r="229" spans="2:15" ht="12.75" customHeight="1" x14ac:dyDescent="0.2">
      <c r="B229" s="617" t="s">
        <v>1031</v>
      </c>
      <c r="C229" s="594">
        <v>5</v>
      </c>
      <c r="D229" s="615">
        <v>1</v>
      </c>
      <c r="E229" s="655" t="s">
        <v>1349</v>
      </c>
      <c r="F229" s="661">
        <v>8.9999999999999998E-4</v>
      </c>
      <c r="G229" s="652">
        <v>8.9999999999999998E-4</v>
      </c>
      <c r="H229" s="660">
        <v>8.9999999999999998E-4</v>
      </c>
      <c r="I229" s="665" t="s">
        <v>1349</v>
      </c>
      <c r="J229" s="661">
        <v>1.8E-3</v>
      </c>
      <c r="K229" s="652">
        <v>1.8E-3</v>
      </c>
      <c r="L229" s="660">
        <v>1.8E-3</v>
      </c>
      <c r="M229" s="668"/>
    </row>
    <row r="230" spans="2:15" ht="12.75" customHeight="1" x14ac:dyDescent="0.2">
      <c r="B230" s="617" t="s">
        <v>1032</v>
      </c>
      <c r="C230" s="594"/>
      <c r="D230" s="615">
        <v>1</v>
      </c>
      <c r="E230" s="655"/>
      <c r="F230" s="661"/>
      <c r="G230" s="652"/>
      <c r="H230" s="660"/>
      <c r="I230" s="665"/>
      <c r="J230" s="661"/>
      <c r="K230" s="652"/>
      <c r="L230" s="660"/>
      <c r="M230" s="668"/>
      <c r="O230" s="685"/>
    </row>
    <row r="231" spans="2:15" ht="12.75" customHeight="1" x14ac:dyDescent="0.2">
      <c r="B231" s="617" t="s">
        <v>1033</v>
      </c>
      <c r="C231" s="594"/>
      <c r="D231" s="615">
        <v>1</v>
      </c>
      <c r="E231" s="656"/>
      <c r="F231" s="662"/>
      <c r="G231" s="653"/>
      <c r="H231" s="663"/>
      <c r="I231" s="666"/>
      <c r="J231" s="662"/>
      <c r="K231" s="653"/>
      <c r="L231" s="663"/>
      <c r="M231" s="669"/>
    </row>
    <row r="232" spans="2:15" ht="8.25" customHeight="1" x14ac:dyDescent="0.2">
      <c r="B232" s="1083"/>
      <c r="C232" s="1084"/>
      <c r="D232" s="1084"/>
      <c r="E232" s="1084"/>
      <c r="F232" s="1084"/>
      <c r="G232" s="1084"/>
      <c r="H232" s="1084"/>
      <c r="I232" s="1084"/>
      <c r="J232" s="1084"/>
      <c r="K232" s="1084"/>
      <c r="L232" s="1084"/>
      <c r="M232" s="1085"/>
    </row>
    <row r="233" spans="2:15" ht="15.75" customHeight="1" x14ac:dyDescent="0.2">
      <c r="B233" s="1032" t="s">
        <v>1009</v>
      </c>
      <c r="C233" s="623" t="s">
        <v>1152</v>
      </c>
      <c r="D233" s="574">
        <v>44041</v>
      </c>
      <c r="E233" s="557" t="s">
        <v>1003</v>
      </c>
      <c r="F233" s="625" t="s">
        <v>520</v>
      </c>
      <c r="G233" s="625" t="s">
        <v>521</v>
      </c>
      <c r="H233" s="625" t="s">
        <v>606</v>
      </c>
      <c r="I233" s="625" t="s">
        <v>607</v>
      </c>
      <c r="J233" s="625" t="s">
        <v>608</v>
      </c>
      <c r="K233" s="625" t="s">
        <v>609</v>
      </c>
      <c r="L233" s="625" t="s">
        <v>610</v>
      </c>
      <c r="M233" s="626" t="s">
        <v>611</v>
      </c>
    </row>
    <row r="234" spans="2:15" ht="15.75" customHeight="1" x14ac:dyDescent="0.2">
      <c r="B234" s="1032"/>
      <c r="C234" s="623" t="s">
        <v>1153</v>
      </c>
      <c r="D234" s="575">
        <v>0.4375</v>
      </c>
      <c r="E234" s="557" t="s">
        <v>848</v>
      </c>
      <c r="F234" s="576" t="s">
        <v>1637</v>
      </c>
      <c r="G234" s="576" t="s">
        <v>1343</v>
      </c>
      <c r="H234" s="576" t="s">
        <v>1638</v>
      </c>
      <c r="I234" s="576" t="s">
        <v>1639</v>
      </c>
      <c r="J234" s="576" t="s">
        <v>1640</v>
      </c>
      <c r="K234" s="576" t="s">
        <v>1641</v>
      </c>
      <c r="L234" s="576" t="s">
        <v>1642</v>
      </c>
      <c r="M234" s="580" t="s">
        <v>1643</v>
      </c>
    </row>
    <row r="235" spans="2:15" ht="7.5" customHeight="1" x14ac:dyDescent="0.2">
      <c r="B235" s="1086"/>
      <c r="C235" s="1087"/>
      <c r="D235" s="1087"/>
      <c r="E235" s="1087"/>
      <c r="F235" s="1087"/>
      <c r="G235" s="1087"/>
      <c r="H235" s="1087"/>
      <c r="I235" s="1087"/>
      <c r="J235" s="1087"/>
      <c r="K235" s="1087"/>
      <c r="L235" s="1087"/>
      <c r="M235" s="1088"/>
    </row>
    <row r="236" spans="2:15" ht="24" customHeight="1" thickBot="1" x14ac:dyDescent="0.25">
      <c r="B236" s="619" t="s">
        <v>804</v>
      </c>
      <c r="C236" s="1089"/>
      <c r="D236" s="1089"/>
      <c r="E236" s="1089"/>
      <c r="F236" s="1089"/>
      <c r="G236" s="1089"/>
      <c r="H236" s="1089"/>
      <c r="I236" s="1089"/>
      <c r="J236" s="1089"/>
      <c r="K236" s="1089"/>
      <c r="L236" s="1089"/>
      <c r="M236" s="1090"/>
    </row>
    <row r="237" spans="2:15" ht="9" customHeight="1" x14ac:dyDescent="0.2"/>
    <row r="238" spans="2:15" ht="14.1" customHeight="1" thickBot="1" x14ac:dyDescent="0.25">
      <c r="B238" s="1048" t="s">
        <v>965</v>
      </c>
      <c r="C238" s="1048"/>
      <c r="D238" s="1048"/>
      <c r="E238" s="1048"/>
      <c r="F238" s="1048"/>
      <c r="G238" s="1048"/>
      <c r="H238" s="1048"/>
      <c r="I238" s="1048"/>
      <c r="J238" s="1048"/>
      <c r="K238" s="1048"/>
      <c r="L238" s="1048"/>
      <c r="M238" s="1048"/>
    </row>
    <row r="239" spans="2:15" ht="23.25" customHeight="1" x14ac:dyDescent="0.2">
      <c r="B239" s="607" t="s">
        <v>1180</v>
      </c>
      <c r="C239" s="569" t="s">
        <v>1181</v>
      </c>
      <c r="D239" s="608" t="s">
        <v>1182</v>
      </c>
      <c r="E239" s="608" t="s">
        <v>1183</v>
      </c>
      <c r="F239" s="1209" t="s">
        <v>1170</v>
      </c>
      <c r="G239" s="1209" t="s">
        <v>1177</v>
      </c>
      <c r="H239" s="1209" t="s">
        <v>1176</v>
      </c>
      <c r="I239" s="1209" t="s">
        <v>1175</v>
      </c>
      <c r="J239" s="1237" t="s">
        <v>1171</v>
      </c>
      <c r="K239" s="1237" t="s">
        <v>1172</v>
      </c>
      <c r="L239" s="605" t="s">
        <v>1185</v>
      </c>
      <c r="M239" s="606" t="s">
        <v>1184</v>
      </c>
    </row>
    <row r="240" spans="2:15" ht="15.75" customHeight="1" x14ac:dyDescent="0.2">
      <c r="B240" s="604" t="s">
        <v>1230</v>
      </c>
      <c r="C240" s="279"/>
      <c r="D240" s="279"/>
      <c r="E240" s="279" t="s">
        <v>1230</v>
      </c>
      <c r="F240" s="1081"/>
      <c r="G240" s="1081"/>
      <c r="H240" s="1081"/>
      <c r="I240" s="1081"/>
      <c r="J240" s="1162"/>
      <c r="K240" s="1162"/>
      <c r="L240" s="709" t="str">
        <f>IF(AND(L65&lt;&gt;"",E241&lt;&gt;"",OR(K31&lt;&gt;"",L31&lt;&gt;"",M31&lt;&gt;"")),IF(F241&lt;&gt;"",IF(K31="X",IF(ABS(K241)&lt;=TABELLE!C188,"X",""),IF(L31="X",IF(ABS(K241)&lt;=TABELLE!C189,"X",""),IF(M31="X",IF(ABS(K241)&lt;=TABELLE!C190,"X","")))),""),"")</f>
        <v/>
      </c>
      <c r="M240" s="710" t="str">
        <f>IF(AND(L65&lt;&gt;"",E241&lt;&gt;"",OR(K31&lt;&gt;"",L31&lt;&gt;"",M31&lt;&gt;"")),IF(L240="X","","X"),"")</f>
        <v>X</v>
      </c>
    </row>
    <row r="241" spans="2:16" ht="12.75" customHeight="1" x14ac:dyDescent="0.2">
      <c r="B241" s="1233" t="s">
        <v>1178</v>
      </c>
      <c r="C241" s="1234"/>
      <c r="D241" s="1234"/>
      <c r="E241" s="603" t="s">
        <v>611</v>
      </c>
      <c r="F241" s="704">
        <v>0.100371</v>
      </c>
      <c r="G241" s="703">
        <v>6000</v>
      </c>
      <c r="H241" s="706">
        <f>IF(F241&lt;&gt;"",F241*G241,"")</f>
        <v>602.226</v>
      </c>
      <c r="I241" s="703">
        <v>0.1</v>
      </c>
      <c r="J241" s="707">
        <f>IF(H241&lt;&gt;"",IF(D29&lt;&gt;"",H241/I241,""),"")</f>
        <v>6022.2599999999993</v>
      </c>
      <c r="K241" s="708">
        <f>IF(J241&lt;&gt;"",IF(D29&lt;&gt;"",(J241-L65)/L65,""),"")</f>
        <v>6021.2599999999993</v>
      </c>
      <c r="L241" s="1046"/>
      <c r="M241" s="1047"/>
    </row>
    <row r="242" spans="2:16" ht="28.5" customHeight="1" thickBot="1" x14ac:dyDescent="0.25">
      <c r="B242" s="533" t="s">
        <v>804</v>
      </c>
      <c r="C242" s="1089"/>
      <c r="D242" s="1089"/>
      <c r="E242" s="1089"/>
      <c r="F242" s="1089"/>
      <c r="G242" s="1089"/>
      <c r="H242" s="1089"/>
      <c r="I242" s="1089"/>
      <c r="J242" s="1089"/>
      <c r="K242" s="1089"/>
      <c r="L242" s="1089"/>
      <c r="M242" s="1090"/>
    </row>
    <row r="243" spans="2:16" ht="8.25" customHeight="1" x14ac:dyDescent="0.2">
      <c r="B243" s="266"/>
      <c r="C243" s="266"/>
      <c r="D243" s="266"/>
      <c r="E243" s="266"/>
      <c r="F243" s="266"/>
      <c r="G243" s="266"/>
      <c r="H243" s="266"/>
      <c r="I243" s="266"/>
      <c r="J243" s="266"/>
      <c r="K243" s="266"/>
      <c r="P243" s="685"/>
    </row>
    <row r="244" spans="2:16" ht="14.1" customHeight="1" thickBot="1" x14ac:dyDescent="0.25">
      <c r="B244" s="1048" t="s">
        <v>966</v>
      </c>
      <c r="C244" s="1048"/>
      <c r="D244" s="1048"/>
      <c r="E244" s="1048"/>
      <c r="F244" s="1048"/>
      <c r="G244" s="1048"/>
      <c r="H244" s="1048"/>
      <c r="I244" s="1048"/>
      <c r="J244" s="1048"/>
      <c r="K244" s="1048"/>
      <c r="L244" s="1048"/>
      <c r="M244" s="1048"/>
    </row>
    <row r="245" spans="2:16" ht="14.1" customHeight="1" x14ac:dyDescent="0.2">
      <c r="B245" s="1050" t="s">
        <v>967</v>
      </c>
      <c r="C245" s="1051"/>
      <c r="D245" s="1051"/>
      <c r="E245" s="1051"/>
      <c r="F245" s="550" t="s">
        <v>882</v>
      </c>
      <c r="G245" s="550" t="s">
        <v>883</v>
      </c>
      <c r="H245" s="1051" t="s">
        <v>968</v>
      </c>
      <c r="I245" s="1051"/>
      <c r="J245" s="1051"/>
      <c r="K245" s="1051"/>
      <c r="L245" s="550" t="s">
        <v>882</v>
      </c>
      <c r="M245" s="568" t="s">
        <v>883</v>
      </c>
    </row>
    <row r="246" spans="2:16" ht="14.1" customHeight="1" x14ac:dyDescent="0.2">
      <c r="B246" s="1095"/>
      <c r="C246" s="1067"/>
      <c r="D246" s="1067"/>
      <c r="E246" s="1067"/>
      <c r="F246" s="279" t="s">
        <v>1230</v>
      </c>
      <c r="G246" s="279"/>
      <c r="H246" s="1067"/>
      <c r="I246" s="1067"/>
      <c r="J246" s="1067"/>
      <c r="K246" s="1067"/>
      <c r="L246" s="279" t="s">
        <v>1230</v>
      </c>
      <c r="M246" s="571"/>
    </row>
    <row r="247" spans="2:16" ht="14.1" customHeight="1" x14ac:dyDescent="0.2">
      <c r="B247" s="1095" t="s">
        <v>969</v>
      </c>
      <c r="C247" s="1067"/>
      <c r="D247" s="1067"/>
      <c r="E247" s="1067"/>
      <c r="F247" s="549" t="s">
        <v>882</v>
      </c>
      <c r="G247" s="549" t="s">
        <v>883</v>
      </c>
      <c r="H247" s="1067" t="s">
        <v>970</v>
      </c>
      <c r="I247" s="1067"/>
      <c r="J247" s="1067"/>
      <c r="K247" s="1067"/>
      <c r="L247" s="549" t="s">
        <v>882</v>
      </c>
      <c r="M247" s="567" t="s">
        <v>883</v>
      </c>
    </row>
    <row r="248" spans="2:16" ht="14.1" customHeight="1" x14ac:dyDescent="0.2">
      <c r="B248" s="1095"/>
      <c r="C248" s="1067"/>
      <c r="D248" s="1067"/>
      <c r="E248" s="1067"/>
      <c r="F248" s="279" t="s">
        <v>1230</v>
      </c>
      <c r="G248" s="279"/>
      <c r="H248" s="1067"/>
      <c r="I248" s="1067"/>
      <c r="J248" s="1067"/>
      <c r="K248" s="1067"/>
      <c r="L248" s="279" t="s">
        <v>1230</v>
      </c>
      <c r="M248" s="571"/>
    </row>
    <row r="249" spans="2:16" ht="13.5" customHeight="1" x14ac:dyDescent="0.2">
      <c r="B249" s="1095" t="s">
        <v>971</v>
      </c>
      <c r="C249" s="1067"/>
      <c r="D249" s="1067"/>
      <c r="E249" s="1067"/>
      <c r="F249" s="549" t="s">
        <v>882</v>
      </c>
      <c r="G249" s="549" t="s">
        <v>883</v>
      </c>
      <c r="H249" s="1067" t="s">
        <v>972</v>
      </c>
      <c r="I249" s="1067"/>
      <c r="J249" s="1067"/>
      <c r="K249" s="1067"/>
      <c r="L249" s="549" t="s">
        <v>882</v>
      </c>
      <c r="M249" s="567" t="s">
        <v>883</v>
      </c>
    </row>
    <row r="250" spans="2:16" ht="13.5" customHeight="1" x14ac:dyDescent="0.2">
      <c r="B250" s="1095"/>
      <c r="C250" s="1067"/>
      <c r="D250" s="1067"/>
      <c r="E250" s="1067"/>
      <c r="F250" s="279" t="s">
        <v>1230</v>
      </c>
      <c r="G250" s="279"/>
      <c r="H250" s="1067"/>
      <c r="I250" s="1067"/>
      <c r="J250" s="1067"/>
      <c r="K250" s="1067"/>
      <c r="L250" s="279" t="s">
        <v>1230</v>
      </c>
      <c r="M250" s="571"/>
    </row>
    <row r="251" spans="2:16" ht="24" customHeight="1" thickBot="1" x14ac:dyDescent="0.25">
      <c r="B251" s="533" t="s">
        <v>804</v>
      </c>
      <c r="C251" s="1089"/>
      <c r="D251" s="1089"/>
      <c r="E251" s="1089"/>
      <c r="F251" s="1089"/>
      <c r="G251" s="1089"/>
      <c r="H251" s="1089"/>
      <c r="I251" s="1089"/>
      <c r="J251" s="1089"/>
      <c r="K251" s="1089"/>
      <c r="L251" s="1089"/>
      <c r="M251" s="1090"/>
    </row>
    <row r="252" spans="2:16" ht="8.25" customHeight="1" x14ac:dyDescent="0.2">
      <c r="B252" s="270"/>
      <c r="C252" s="270"/>
      <c r="D252" s="271"/>
      <c r="E252" s="272"/>
      <c r="F252" s="273"/>
      <c r="G252" s="273"/>
      <c r="H252" s="266"/>
      <c r="I252" s="274"/>
      <c r="J252" s="273"/>
      <c r="K252" s="274"/>
      <c r="L252" s="274"/>
      <c r="M252" s="274"/>
    </row>
    <row r="253" spans="2:16" ht="14.1" customHeight="1" thickBot="1" x14ac:dyDescent="0.25">
      <c r="B253" s="1048" t="s">
        <v>973</v>
      </c>
      <c r="C253" s="1048"/>
      <c r="D253" s="1048"/>
      <c r="E253" s="1048"/>
      <c r="F253" s="1048"/>
      <c r="G253" s="1048"/>
      <c r="H253" s="1048"/>
      <c r="I253" s="1048"/>
      <c r="J253" s="1048"/>
      <c r="K253" s="1048"/>
      <c r="L253" s="1048"/>
      <c r="M253" s="1048"/>
    </row>
    <row r="254" spans="2:16" ht="23.25" customHeight="1" x14ac:dyDescent="0.2">
      <c r="B254" s="1096" t="s">
        <v>974</v>
      </c>
      <c r="C254" s="1091"/>
      <c r="D254" s="1091"/>
      <c r="E254" s="1093" t="s">
        <v>1010</v>
      </c>
      <c r="F254" s="1093"/>
      <c r="G254" s="1093"/>
      <c r="H254" s="600" t="s">
        <v>1011</v>
      </c>
      <c r="I254" s="1091" t="s">
        <v>975</v>
      </c>
      <c r="J254" s="1091"/>
      <c r="K254" s="1091"/>
      <c r="L254" s="1091"/>
      <c r="M254" s="1092"/>
    </row>
    <row r="255" spans="2:16" ht="20.25" customHeight="1" x14ac:dyDescent="0.2">
      <c r="B255" s="1042" t="s">
        <v>1268</v>
      </c>
      <c r="C255" s="1043"/>
      <c r="D255" s="1043"/>
      <c r="E255" s="279" t="s">
        <v>1230</v>
      </c>
      <c r="F255" s="279"/>
      <c r="G255" s="279"/>
      <c r="H255" s="700" t="s">
        <v>1237</v>
      </c>
      <c r="I255" s="1044" t="s">
        <v>1674</v>
      </c>
      <c r="J255" s="1044"/>
      <c r="K255" s="1044"/>
      <c r="L255" s="1044"/>
      <c r="M255" s="1045"/>
      <c r="P255" s="695"/>
    </row>
    <row r="256" spans="2:16" ht="20.25" customHeight="1" x14ac:dyDescent="0.2">
      <c r="B256" s="1042" t="s">
        <v>1243</v>
      </c>
      <c r="C256" s="1043"/>
      <c r="D256" s="1043"/>
      <c r="E256" s="279"/>
      <c r="F256" s="279" t="s">
        <v>1230</v>
      </c>
      <c r="G256" s="279"/>
      <c r="H256" s="700" t="s">
        <v>1234</v>
      </c>
      <c r="I256" s="1044" t="s">
        <v>1340</v>
      </c>
      <c r="J256" s="1044"/>
      <c r="K256" s="1044"/>
      <c r="L256" s="1044"/>
      <c r="M256" s="1045"/>
    </row>
    <row r="257" spans="2:13" ht="20.25" customHeight="1" x14ac:dyDescent="0.2">
      <c r="B257" s="1042" t="s">
        <v>1269</v>
      </c>
      <c r="C257" s="1043"/>
      <c r="D257" s="1043"/>
      <c r="E257" s="279"/>
      <c r="F257" s="279"/>
      <c r="G257" s="279" t="s">
        <v>1230</v>
      </c>
      <c r="H257" s="700" t="s">
        <v>1262</v>
      </c>
      <c r="I257" s="1044" t="s">
        <v>1341</v>
      </c>
      <c r="J257" s="1044"/>
      <c r="K257" s="1044"/>
      <c r="L257" s="1044"/>
      <c r="M257" s="1045"/>
    </row>
    <row r="258" spans="2:13" ht="20.25" customHeight="1" x14ac:dyDescent="0.2">
      <c r="B258" s="1042" t="s">
        <v>1647</v>
      </c>
      <c r="C258" s="1043"/>
      <c r="D258" s="1043"/>
      <c r="E258" s="279" t="s">
        <v>1230</v>
      </c>
      <c r="F258" s="279"/>
      <c r="G258" s="279"/>
      <c r="H258" s="700" t="s">
        <v>1263</v>
      </c>
      <c r="I258" s="1044" t="s">
        <v>1672</v>
      </c>
      <c r="J258" s="1044"/>
      <c r="K258" s="1044"/>
      <c r="L258" s="1044"/>
      <c r="M258" s="1045"/>
    </row>
    <row r="259" spans="2:13" ht="20.25" customHeight="1" x14ac:dyDescent="0.2">
      <c r="B259" s="1042" t="s">
        <v>1270</v>
      </c>
      <c r="C259" s="1043"/>
      <c r="D259" s="1043"/>
      <c r="E259" s="279"/>
      <c r="F259" s="279" t="s">
        <v>1230</v>
      </c>
      <c r="G259" s="279"/>
      <c r="H259" s="700" t="s">
        <v>1261</v>
      </c>
      <c r="I259" s="1044" t="s">
        <v>1336</v>
      </c>
      <c r="J259" s="1044"/>
      <c r="K259" s="1044"/>
      <c r="L259" s="1044"/>
      <c r="M259" s="1045"/>
    </row>
    <row r="260" spans="2:13" ht="20.25" customHeight="1" x14ac:dyDescent="0.2">
      <c r="B260" s="1042" t="s">
        <v>1648</v>
      </c>
      <c r="C260" s="1043"/>
      <c r="D260" s="1043"/>
      <c r="E260" s="279"/>
      <c r="F260" s="279"/>
      <c r="G260" s="279" t="s">
        <v>1230</v>
      </c>
      <c r="H260" s="700" t="s">
        <v>1235</v>
      </c>
      <c r="I260" s="1044" t="s">
        <v>1335</v>
      </c>
      <c r="J260" s="1044"/>
      <c r="K260" s="1044"/>
      <c r="L260" s="1044"/>
      <c r="M260" s="1045"/>
    </row>
    <row r="261" spans="2:13" ht="20.25" customHeight="1" x14ac:dyDescent="0.2">
      <c r="B261" s="1042" t="s">
        <v>1271</v>
      </c>
      <c r="C261" s="1043"/>
      <c r="D261" s="1043"/>
      <c r="E261" s="279" t="s">
        <v>1230</v>
      </c>
      <c r="F261" s="279"/>
      <c r="G261" s="279"/>
      <c r="H261" s="700" t="s">
        <v>1264</v>
      </c>
      <c r="I261" s="1044" t="s">
        <v>1337</v>
      </c>
      <c r="J261" s="1044"/>
      <c r="K261" s="1044"/>
      <c r="L261" s="1044"/>
      <c r="M261" s="1045"/>
    </row>
    <row r="262" spans="2:13" ht="20.25" customHeight="1" x14ac:dyDescent="0.2">
      <c r="B262" s="1042" t="s">
        <v>1644</v>
      </c>
      <c r="C262" s="1043"/>
      <c r="D262" s="1043"/>
      <c r="E262" s="279"/>
      <c r="F262" s="279" t="s">
        <v>1230</v>
      </c>
      <c r="G262" s="279"/>
      <c r="H262" s="700" t="s">
        <v>1265</v>
      </c>
      <c r="I262" s="1044" t="s">
        <v>1338</v>
      </c>
      <c r="J262" s="1044"/>
      <c r="K262" s="1044"/>
      <c r="L262" s="1044"/>
      <c r="M262" s="1045"/>
    </row>
    <row r="263" spans="2:13" ht="20.25" customHeight="1" x14ac:dyDescent="0.2">
      <c r="B263" s="1042" t="s">
        <v>1645</v>
      </c>
      <c r="C263" s="1043"/>
      <c r="D263" s="1043"/>
      <c r="E263" s="279"/>
      <c r="F263" s="279"/>
      <c r="G263" s="279" t="s">
        <v>1230</v>
      </c>
      <c r="H263" s="700" t="s">
        <v>1266</v>
      </c>
      <c r="I263" s="1044" t="s">
        <v>1673</v>
      </c>
      <c r="J263" s="1044"/>
      <c r="K263" s="1044"/>
      <c r="L263" s="1044"/>
      <c r="M263" s="1045"/>
    </row>
    <row r="264" spans="2:13" ht="20.25" customHeight="1" x14ac:dyDescent="0.2">
      <c r="B264" s="1042" t="s">
        <v>1646</v>
      </c>
      <c r="C264" s="1043"/>
      <c r="D264" s="1043"/>
      <c r="E264" s="279" t="s">
        <v>1230</v>
      </c>
      <c r="F264" s="279"/>
      <c r="G264" s="279"/>
      <c r="H264" s="700" t="s">
        <v>1267</v>
      </c>
      <c r="I264" s="1044" t="s">
        <v>1339</v>
      </c>
      <c r="J264" s="1044"/>
      <c r="K264" s="1044"/>
      <c r="L264" s="1044"/>
      <c r="M264" s="1045"/>
    </row>
    <row r="265" spans="2:13" ht="20.25" customHeight="1" x14ac:dyDescent="0.2">
      <c r="B265" s="1042"/>
      <c r="C265" s="1043"/>
      <c r="D265" s="1043"/>
      <c r="E265" s="279"/>
      <c r="F265" s="279"/>
      <c r="G265" s="279"/>
      <c r="H265" s="700"/>
      <c r="I265" s="1044"/>
      <c r="J265" s="1044"/>
      <c r="K265" s="1044"/>
      <c r="L265" s="1044"/>
      <c r="M265" s="1045"/>
    </row>
    <row r="266" spans="2:13" ht="20.25" customHeight="1" x14ac:dyDescent="0.2">
      <c r="B266" s="1042"/>
      <c r="C266" s="1043"/>
      <c r="D266" s="1043"/>
      <c r="E266" s="279"/>
      <c r="F266" s="279"/>
      <c r="G266" s="279"/>
      <c r="H266" s="700"/>
      <c r="I266" s="1044"/>
      <c r="J266" s="1044"/>
      <c r="K266" s="1044"/>
      <c r="L266" s="1044"/>
      <c r="M266" s="1045"/>
    </row>
    <row r="267" spans="2:13" ht="20.25" customHeight="1" x14ac:dyDescent="0.2">
      <c r="B267" s="1042"/>
      <c r="C267" s="1043"/>
      <c r="D267" s="1043"/>
      <c r="E267" s="279"/>
      <c r="F267" s="279"/>
      <c r="G267" s="279"/>
      <c r="H267" s="700"/>
      <c r="I267" s="1044"/>
      <c r="J267" s="1044"/>
      <c r="K267" s="1044"/>
      <c r="L267" s="1044"/>
      <c r="M267" s="1045"/>
    </row>
    <row r="268" spans="2:13" ht="20.25" customHeight="1" x14ac:dyDescent="0.2">
      <c r="B268" s="1042"/>
      <c r="C268" s="1043"/>
      <c r="D268" s="1043"/>
      <c r="E268" s="279"/>
      <c r="F268" s="279"/>
      <c r="G268" s="279"/>
      <c r="H268" s="700"/>
      <c r="I268" s="1044"/>
      <c r="J268" s="1044"/>
      <c r="K268" s="1044"/>
      <c r="L268" s="1044"/>
      <c r="M268" s="1045"/>
    </row>
    <row r="269" spans="2:13" ht="20.25" customHeight="1" x14ac:dyDescent="0.2">
      <c r="B269" s="1042"/>
      <c r="C269" s="1043"/>
      <c r="D269" s="1043"/>
      <c r="E269" s="279"/>
      <c r="F269" s="279"/>
      <c r="G269" s="279"/>
      <c r="H269" s="700"/>
      <c r="I269" s="1044"/>
      <c r="J269" s="1044"/>
      <c r="K269" s="1044"/>
      <c r="L269" s="1044"/>
      <c r="M269" s="1045"/>
    </row>
    <row r="270" spans="2:13" ht="20.25" customHeight="1" x14ac:dyDescent="0.2">
      <c r="B270" s="1042"/>
      <c r="C270" s="1043"/>
      <c r="D270" s="1043"/>
      <c r="E270" s="279"/>
      <c r="F270" s="279"/>
      <c r="G270" s="279"/>
      <c r="H270" s="700"/>
      <c r="I270" s="1044"/>
      <c r="J270" s="1044"/>
      <c r="K270" s="1044"/>
      <c r="L270" s="1044"/>
      <c r="M270" s="1045"/>
    </row>
    <row r="271" spans="2:13" ht="20.25" customHeight="1" x14ac:dyDescent="0.2">
      <c r="B271" s="1042"/>
      <c r="C271" s="1043"/>
      <c r="D271" s="1043"/>
      <c r="E271" s="279"/>
      <c r="F271" s="279"/>
      <c r="G271" s="279"/>
      <c r="H271" s="700"/>
      <c r="I271" s="1044"/>
      <c r="J271" s="1044"/>
      <c r="K271" s="1044"/>
      <c r="L271" s="1044"/>
      <c r="M271" s="1045"/>
    </row>
    <row r="272" spans="2:13" ht="20.25" customHeight="1" x14ac:dyDescent="0.2">
      <c r="B272" s="1042"/>
      <c r="C272" s="1043"/>
      <c r="D272" s="1043"/>
      <c r="E272" s="279"/>
      <c r="F272" s="279"/>
      <c r="G272" s="279"/>
      <c r="H272" s="700"/>
      <c r="I272" s="1044"/>
      <c r="J272" s="1044"/>
      <c r="K272" s="1044"/>
      <c r="L272" s="1044"/>
      <c r="M272" s="1045"/>
    </row>
    <row r="273" spans="2:13" ht="20.25" customHeight="1" x14ac:dyDescent="0.2">
      <c r="B273" s="1042"/>
      <c r="C273" s="1043"/>
      <c r="D273" s="1043"/>
      <c r="E273" s="279"/>
      <c r="F273" s="279"/>
      <c r="G273" s="279"/>
      <c r="H273" s="700"/>
      <c r="I273" s="1044"/>
      <c r="J273" s="1044"/>
      <c r="K273" s="1044"/>
      <c r="L273" s="1044"/>
      <c r="M273" s="1045"/>
    </row>
    <row r="274" spans="2:13" ht="20.25" customHeight="1" x14ac:dyDescent="0.2">
      <c r="B274" s="1042"/>
      <c r="C274" s="1043"/>
      <c r="D274" s="1043"/>
      <c r="E274" s="279"/>
      <c r="F274" s="279"/>
      <c r="G274" s="279"/>
      <c r="H274" s="700"/>
      <c r="I274" s="1044"/>
      <c r="J274" s="1044"/>
      <c r="K274" s="1044"/>
      <c r="L274" s="1044"/>
      <c r="M274" s="1045"/>
    </row>
    <row r="275" spans="2:13" ht="14.1" customHeight="1" x14ac:dyDescent="0.2">
      <c r="B275" s="1055"/>
      <c r="C275" s="1056"/>
      <c r="D275" s="1056"/>
      <c r="E275" s="1056"/>
      <c r="F275" s="1056"/>
      <c r="G275" s="1056"/>
      <c r="H275" s="1056"/>
      <c r="I275" s="1056"/>
      <c r="J275" s="1056"/>
      <c r="K275" s="1056"/>
      <c r="L275" s="1056"/>
      <c r="M275" s="1057"/>
    </row>
    <row r="276" spans="2:13" ht="14.1" customHeight="1" x14ac:dyDescent="0.2">
      <c r="B276" s="1095" t="s">
        <v>976</v>
      </c>
      <c r="C276" s="1067"/>
      <c r="D276" s="1067"/>
      <c r="E276" s="1067"/>
      <c r="F276" s="549" t="s">
        <v>882</v>
      </c>
      <c r="G276" s="549" t="s">
        <v>883</v>
      </c>
      <c r="H276" s="1067" t="s">
        <v>977</v>
      </c>
      <c r="I276" s="1067"/>
      <c r="J276" s="1067"/>
      <c r="K276" s="1067"/>
      <c r="L276" s="549" t="s">
        <v>882</v>
      </c>
      <c r="M276" s="567" t="s">
        <v>883</v>
      </c>
    </row>
    <row r="277" spans="2:13" ht="14.1" customHeight="1" x14ac:dyDescent="0.2">
      <c r="B277" s="1095"/>
      <c r="C277" s="1067"/>
      <c r="D277" s="1067"/>
      <c r="E277" s="1067"/>
      <c r="F277" s="279" t="s">
        <v>1230</v>
      </c>
      <c r="G277" s="279"/>
      <c r="H277" s="1067"/>
      <c r="I277" s="1067"/>
      <c r="J277" s="1067"/>
      <c r="K277" s="1067"/>
      <c r="L277" s="279"/>
      <c r="M277" s="571" t="s">
        <v>1230</v>
      </c>
    </row>
    <row r="278" spans="2:13" ht="15" customHeight="1" thickBot="1" x14ac:dyDescent="0.25">
      <c r="B278" s="1074" t="s">
        <v>978</v>
      </c>
      <c r="C278" s="1075"/>
      <c r="D278" s="1075"/>
      <c r="E278" s="1075"/>
      <c r="F278" s="1099" t="s">
        <v>1244</v>
      </c>
      <c r="G278" s="1099"/>
      <c r="H278" s="1099"/>
      <c r="I278" s="1099"/>
      <c r="J278" s="1099"/>
      <c r="K278" s="1099"/>
      <c r="L278" s="1099"/>
      <c r="M278" s="1100"/>
    </row>
    <row r="279" spans="2:13" ht="7.5" customHeight="1" x14ac:dyDescent="0.2"/>
    <row r="280" spans="2:13" s="264" customFormat="1" ht="3" customHeight="1" x14ac:dyDescent="0.2">
      <c r="B280" s="266"/>
      <c r="C280" s="266"/>
      <c r="D280" s="266"/>
      <c r="E280" s="266"/>
      <c r="F280" s="266"/>
      <c r="G280" s="266"/>
      <c r="H280" s="266"/>
      <c r="I280" s="266"/>
      <c r="J280" s="266"/>
      <c r="K280" s="266"/>
      <c r="L280" s="266"/>
      <c r="M280" s="266"/>
    </row>
    <row r="281" spans="2:13" ht="16.5" customHeight="1" thickBot="1" x14ac:dyDescent="0.25">
      <c r="B281" s="1048" t="s">
        <v>1024</v>
      </c>
      <c r="C281" s="1048"/>
      <c r="D281" s="1048"/>
      <c r="E281" s="1048"/>
      <c r="F281" s="1048"/>
      <c r="G281" s="1048"/>
      <c r="H281" s="1048"/>
      <c r="I281" s="1048"/>
      <c r="J281" s="1048"/>
      <c r="K281" s="1048"/>
      <c r="L281" s="1048"/>
      <c r="M281" s="1048"/>
    </row>
    <row r="282" spans="2:13" ht="22.5" customHeight="1" thickBot="1" x14ac:dyDescent="0.25">
      <c r="B282" s="1068" t="s">
        <v>1025</v>
      </c>
      <c r="C282" s="1069"/>
      <c r="D282" s="1069"/>
      <c r="E282" s="1069"/>
      <c r="F282" s="1097" t="s">
        <v>1246</v>
      </c>
      <c r="G282" s="1097"/>
      <c r="H282" s="1097"/>
      <c r="I282" s="1097"/>
      <c r="J282" s="1097"/>
      <c r="K282" s="1097"/>
      <c r="L282" s="1097"/>
      <c r="M282" s="1098"/>
    </row>
    <row r="283" spans="2:13" ht="6.75" customHeight="1" x14ac:dyDescent="0.2">
      <c r="B283" s="266"/>
      <c r="C283" s="266"/>
      <c r="D283" s="266"/>
      <c r="E283" s="266"/>
      <c r="F283" s="266"/>
      <c r="G283" s="266"/>
      <c r="H283" s="266"/>
      <c r="I283" s="266"/>
      <c r="J283" s="266"/>
      <c r="K283" s="266"/>
      <c r="L283" s="266"/>
      <c r="M283" s="266"/>
    </row>
    <row r="284" spans="2:13" ht="14.25" customHeight="1" thickBot="1" x14ac:dyDescent="0.25">
      <c r="B284" s="1048" t="s">
        <v>1054</v>
      </c>
      <c r="C284" s="1048"/>
      <c r="D284" s="1048"/>
      <c r="E284" s="1048"/>
      <c r="F284" s="1048"/>
      <c r="G284" s="1048"/>
      <c r="H284" s="1048"/>
      <c r="I284" s="1048"/>
      <c r="J284" s="1048"/>
      <c r="K284" s="1048"/>
      <c r="L284" s="1048"/>
      <c r="M284" s="1048"/>
    </row>
    <row r="285" spans="2:13" ht="14.25" customHeight="1" x14ac:dyDescent="0.2">
      <c r="B285" s="1094" t="s">
        <v>1005</v>
      </c>
      <c r="C285" s="550" t="s">
        <v>1152</v>
      </c>
      <c r="D285" s="577">
        <v>44041</v>
      </c>
      <c r="E285" s="561" t="s">
        <v>1003</v>
      </c>
      <c r="F285" s="578" t="s">
        <v>520</v>
      </c>
      <c r="G285" s="578" t="s">
        <v>521</v>
      </c>
      <c r="H285" s="578"/>
      <c r="I285" s="578"/>
      <c r="J285" s="578"/>
      <c r="K285" s="578"/>
      <c r="L285" s="578"/>
      <c r="M285" s="579"/>
    </row>
    <row r="286" spans="2:13" ht="14.25" customHeight="1" x14ac:dyDescent="0.2">
      <c r="B286" s="1032"/>
      <c r="C286" s="549" t="s">
        <v>1153</v>
      </c>
      <c r="D286" s="575">
        <v>0.4513888888888889</v>
      </c>
      <c r="E286" s="557" t="s">
        <v>848</v>
      </c>
      <c r="F286" s="601" t="s">
        <v>1346</v>
      </c>
      <c r="G286" s="601" t="s">
        <v>1342</v>
      </c>
      <c r="H286" s="601"/>
      <c r="I286" s="601"/>
      <c r="J286" s="601"/>
      <c r="K286" s="601"/>
      <c r="L286" s="601"/>
      <c r="M286" s="602"/>
    </row>
    <row r="287" spans="2:13" ht="22.5" customHeight="1" thickBot="1" x14ac:dyDescent="0.25">
      <c r="B287" s="533" t="s">
        <v>804</v>
      </c>
      <c r="C287" s="1089"/>
      <c r="D287" s="1089"/>
      <c r="E287" s="1089"/>
      <c r="F287" s="1089"/>
      <c r="G287" s="1089"/>
      <c r="H287" s="1089"/>
      <c r="I287" s="1089"/>
      <c r="J287" s="1089"/>
      <c r="K287" s="1089"/>
      <c r="L287" s="1089"/>
      <c r="M287" s="1090"/>
    </row>
    <row r="288" spans="2:13" s="264" customFormat="1" ht="9" customHeight="1" x14ac:dyDescent="0.2">
      <c r="B288" s="266"/>
      <c r="C288" s="266"/>
      <c r="D288" s="266"/>
      <c r="E288" s="266"/>
      <c r="F288" s="266"/>
      <c r="G288" s="266"/>
      <c r="H288" s="266"/>
      <c r="I288" s="266"/>
      <c r="J288" s="266"/>
      <c r="K288" s="266"/>
      <c r="L288" s="266"/>
      <c r="M288" s="266"/>
    </row>
    <row r="289" spans="2:13" ht="11.25" customHeight="1" thickBot="1" x14ac:dyDescent="0.25">
      <c r="B289" s="1048" t="s">
        <v>1026</v>
      </c>
      <c r="C289" s="1048"/>
      <c r="D289" s="1048"/>
      <c r="E289" s="1048"/>
      <c r="F289" s="1048"/>
      <c r="G289" s="1048"/>
      <c r="H289" s="1048"/>
      <c r="I289" s="1048"/>
      <c r="J289" s="1048"/>
      <c r="K289" s="1048"/>
      <c r="L289" s="1048"/>
      <c r="M289" s="1048"/>
    </row>
    <row r="290" spans="2:13" ht="9" customHeight="1" x14ac:dyDescent="0.2">
      <c r="B290" s="1034"/>
      <c r="C290" s="1035"/>
      <c r="D290" s="1035"/>
      <c r="E290" s="1035"/>
      <c r="F290" s="1035"/>
      <c r="G290" s="1035"/>
      <c r="H290" s="1035"/>
      <c r="I290" s="1035"/>
      <c r="J290" s="1035"/>
      <c r="K290" s="1035"/>
      <c r="L290" s="1035"/>
      <c r="M290" s="1036"/>
    </row>
    <row r="291" spans="2:13" ht="9" customHeight="1" x14ac:dyDescent="0.2">
      <c r="B291" s="1037"/>
      <c r="C291" s="1038"/>
      <c r="D291" s="1038"/>
      <c r="E291" s="1038"/>
      <c r="F291" s="1038"/>
      <c r="G291" s="1038"/>
      <c r="H291" s="1038"/>
      <c r="I291" s="1038"/>
      <c r="J291" s="1038"/>
      <c r="K291" s="1038"/>
      <c r="L291" s="1038"/>
      <c r="M291" s="1039"/>
    </row>
    <row r="292" spans="2:13" ht="9" customHeight="1" x14ac:dyDescent="0.2">
      <c r="B292" s="1037"/>
      <c r="C292" s="1038"/>
      <c r="D292" s="1038"/>
      <c r="E292" s="1038"/>
      <c r="F292" s="1038"/>
      <c r="G292" s="1038"/>
      <c r="H292" s="1038"/>
      <c r="I292" s="1038"/>
      <c r="J292" s="1038"/>
      <c r="K292" s="1038"/>
      <c r="L292" s="1038"/>
      <c r="M292" s="1039"/>
    </row>
    <row r="293" spans="2:13" ht="9" customHeight="1" x14ac:dyDescent="0.2">
      <c r="B293" s="1037"/>
      <c r="C293" s="1038"/>
      <c r="D293" s="1038"/>
      <c r="E293" s="1038"/>
      <c r="F293" s="1038"/>
      <c r="G293" s="1038"/>
      <c r="H293" s="1038"/>
      <c r="I293" s="1038"/>
      <c r="J293" s="1038"/>
      <c r="K293" s="1038"/>
      <c r="L293" s="1038"/>
      <c r="M293" s="1039"/>
    </row>
    <row r="294" spans="2:13" ht="9" customHeight="1" x14ac:dyDescent="0.2">
      <c r="B294" s="1037"/>
      <c r="C294" s="1038"/>
      <c r="D294" s="1038"/>
      <c r="E294" s="1038"/>
      <c r="F294" s="1038"/>
      <c r="G294" s="1038"/>
      <c r="H294" s="1038"/>
      <c r="I294" s="1038"/>
      <c r="J294" s="1038"/>
      <c r="K294" s="1038"/>
      <c r="L294" s="1038"/>
      <c r="M294" s="1039"/>
    </row>
    <row r="295" spans="2:13" ht="9" customHeight="1" x14ac:dyDescent="0.2">
      <c r="B295" s="1037"/>
      <c r="C295" s="1038"/>
      <c r="D295" s="1038"/>
      <c r="E295" s="1038"/>
      <c r="F295" s="1038"/>
      <c r="G295" s="1038"/>
      <c r="H295" s="1038"/>
      <c r="I295" s="1038"/>
      <c r="J295" s="1038"/>
      <c r="K295" s="1038"/>
      <c r="L295" s="1038"/>
      <c r="M295" s="1039"/>
    </row>
    <row r="296" spans="2:13" ht="9" customHeight="1" x14ac:dyDescent="0.2">
      <c r="B296" s="1037"/>
      <c r="C296" s="1038"/>
      <c r="D296" s="1038"/>
      <c r="E296" s="1038"/>
      <c r="F296" s="1038"/>
      <c r="G296" s="1038"/>
      <c r="H296" s="1038"/>
      <c r="I296" s="1038"/>
      <c r="J296" s="1038"/>
      <c r="K296" s="1038"/>
      <c r="L296" s="1038"/>
      <c r="M296" s="1039"/>
    </row>
    <row r="297" spans="2:13" ht="9" customHeight="1" x14ac:dyDescent="0.2">
      <c r="B297" s="1037"/>
      <c r="C297" s="1038"/>
      <c r="D297" s="1038"/>
      <c r="E297" s="1038"/>
      <c r="F297" s="1038"/>
      <c r="G297" s="1038"/>
      <c r="H297" s="1038"/>
      <c r="I297" s="1038"/>
      <c r="J297" s="1038"/>
      <c r="K297" s="1038"/>
      <c r="L297" s="1038"/>
      <c r="M297" s="1039"/>
    </row>
    <row r="298" spans="2:13" ht="9" customHeight="1" x14ac:dyDescent="0.2">
      <c r="B298" s="1037"/>
      <c r="C298" s="1038"/>
      <c r="D298" s="1038"/>
      <c r="E298" s="1038"/>
      <c r="F298" s="1038"/>
      <c r="G298" s="1038"/>
      <c r="H298" s="1038"/>
      <c r="I298" s="1038"/>
      <c r="J298" s="1038"/>
      <c r="K298" s="1038"/>
      <c r="L298" s="1038"/>
      <c r="M298" s="1039"/>
    </row>
    <row r="299" spans="2:13" ht="9" customHeight="1" x14ac:dyDescent="0.2">
      <c r="B299" s="1037"/>
      <c r="C299" s="1038"/>
      <c r="D299" s="1038"/>
      <c r="E299" s="1038"/>
      <c r="F299" s="1038"/>
      <c r="G299" s="1038"/>
      <c r="H299" s="1038"/>
      <c r="I299" s="1038"/>
      <c r="J299" s="1038"/>
      <c r="K299" s="1038"/>
      <c r="L299" s="1038"/>
      <c r="M299" s="1039"/>
    </row>
    <row r="300" spans="2:13" ht="9" customHeight="1" x14ac:dyDescent="0.2">
      <c r="B300" s="1037"/>
      <c r="C300" s="1038"/>
      <c r="D300" s="1038"/>
      <c r="E300" s="1038"/>
      <c r="F300" s="1038"/>
      <c r="G300" s="1038"/>
      <c r="H300" s="1038"/>
      <c r="I300" s="1038"/>
      <c r="J300" s="1038"/>
      <c r="K300" s="1038"/>
      <c r="L300" s="1038"/>
      <c r="M300" s="1039"/>
    </row>
    <row r="301" spans="2:13" ht="9" customHeight="1" x14ac:dyDescent="0.2">
      <c r="B301" s="1037"/>
      <c r="C301" s="1038"/>
      <c r="D301" s="1038"/>
      <c r="E301" s="1038"/>
      <c r="F301" s="1038"/>
      <c r="G301" s="1038"/>
      <c r="H301" s="1038"/>
      <c r="I301" s="1038"/>
      <c r="J301" s="1038"/>
      <c r="K301" s="1038"/>
      <c r="L301" s="1038"/>
      <c r="M301" s="1039"/>
    </row>
    <row r="302" spans="2:13" ht="9" customHeight="1" x14ac:dyDescent="0.2">
      <c r="B302" s="1037"/>
      <c r="C302" s="1038"/>
      <c r="D302" s="1038"/>
      <c r="E302" s="1038"/>
      <c r="F302" s="1038"/>
      <c r="G302" s="1038"/>
      <c r="H302" s="1038"/>
      <c r="I302" s="1038"/>
      <c r="J302" s="1038"/>
      <c r="K302" s="1038"/>
      <c r="L302" s="1038"/>
      <c r="M302" s="1039"/>
    </row>
    <row r="303" spans="2:13" ht="9" customHeight="1" x14ac:dyDescent="0.2">
      <c r="B303" s="1037"/>
      <c r="C303" s="1038"/>
      <c r="D303" s="1038"/>
      <c r="E303" s="1038"/>
      <c r="F303" s="1038"/>
      <c r="G303" s="1038"/>
      <c r="H303" s="1038"/>
      <c r="I303" s="1038"/>
      <c r="J303" s="1038"/>
      <c r="K303" s="1038"/>
      <c r="L303" s="1038"/>
      <c r="M303" s="1039"/>
    </row>
    <row r="304" spans="2:13" ht="9" customHeight="1" x14ac:dyDescent="0.2">
      <c r="B304" s="1037"/>
      <c r="C304" s="1038"/>
      <c r="D304" s="1038"/>
      <c r="E304" s="1038"/>
      <c r="F304" s="1038"/>
      <c r="G304" s="1038"/>
      <c r="H304" s="1038"/>
      <c r="I304" s="1038"/>
      <c r="J304" s="1038"/>
      <c r="K304" s="1038"/>
      <c r="L304" s="1038"/>
      <c r="M304" s="1039"/>
    </row>
    <row r="305" spans="2:13" ht="9" customHeight="1" x14ac:dyDescent="0.2">
      <c r="B305" s="1037"/>
      <c r="C305" s="1038"/>
      <c r="D305" s="1038"/>
      <c r="E305" s="1038"/>
      <c r="F305" s="1038"/>
      <c r="G305" s="1038"/>
      <c r="H305" s="1038"/>
      <c r="I305" s="1038"/>
      <c r="J305" s="1038"/>
      <c r="K305" s="1038"/>
      <c r="L305" s="1038"/>
      <c r="M305" s="1039"/>
    </row>
    <row r="306" spans="2:13" ht="9" customHeight="1" x14ac:dyDescent="0.2">
      <c r="B306" s="1037"/>
      <c r="C306" s="1038"/>
      <c r="D306" s="1038"/>
      <c r="E306" s="1038"/>
      <c r="F306" s="1038"/>
      <c r="G306" s="1038"/>
      <c r="H306" s="1038"/>
      <c r="I306" s="1038"/>
      <c r="J306" s="1038"/>
      <c r="K306" s="1038"/>
      <c r="L306" s="1038"/>
      <c r="M306" s="1039"/>
    </row>
    <row r="307" spans="2:13" x14ac:dyDescent="0.2">
      <c r="B307" s="1037"/>
      <c r="C307" s="1038"/>
      <c r="D307" s="1038"/>
      <c r="E307" s="1038"/>
      <c r="F307" s="1038"/>
      <c r="G307" s="1038"/>
      <c r="H307" s="1038"/>
      <c r="I307" s="1038"/>
      <c r="J307" s="1038"/>
      <c r="K307" s="1038"/>
      <c r="L307" s="1038"/>
      <c r="M307" s="1039"/>
    </row>
    <row r="308" spans="2:13" x14ac:dyDescent="0.2">
      <c r="B308" s="1037"/>
      <c r="C308" s="1038"/>
      <c r="D308" s="1038"/>
      <c r="E308" s="1038"/>
      <c r="F308" s="1038"/>
      <c r="G308" s="1038"/>
      <c r="H308" s="1038"/>
      <c r="I308" s="1038"/>
      <c r="J308" s="1038"/>
      <c r="K308" s="1038"/>
      <c r="L308" s="1038"/>
      <c r="M308" s="1039"/>
    </row>
    <row r="309" spans="2:13" x14ac:dyDescent="0.2">
      <c r="B309" s="1037"/>
      <c r="C309" s="1038"/>
      <c r="D309" s="1038"/>
      <c r="E309" s="1038"/>
      <c r="F309" s="1038"/>
      <c r="G309" s="1038"/>
      <c r="H309" s="1038"/>
      <c r="I309" s="1038"/>
      <c r="J309" s="1038"/>
      <c r="K309" s="1038"/>
      <c r="L309" s="1038"/>
      <c r="M309" s="1039"/>
    </row>
    <row r="310" spans="2:13" x14ac:dyDescent="0.2">
      <c r="B310" s="1037"/>
      <c r="C310" s="1038"/>
      <c r="D310" s="1038"/>
      <c r="E310" s="1038"/>
      <c r="F310" s="1038"/>
      <c r="G310" s="1038"/>
      <c r="H310" s="1038"/>
      <c r="I310" s="1038"/>
      <c r="J310" s="1038"/>
      <c r="K310" s="1038"/>
      <c r="L310" s="1038"/>
      <c r="M310" s="1039"/>
    </row>
    <row r="311" spans="2:13" x14ac:dyDescent="0.2">
      <c r="B311" s="1037"/>
      <c r="C311" s="1038"/>
      <c r="D311" s="1038"/>
      <c r="E311" s="1038"/>
      <c r="F311" s="1038"/>
      <c r="G311" s="1038"/>
      <c r="H311" s="1038"/>
      <c r="I311" s="1038"/>
      <c r="J311" s="1038"/>
      <c r="K311" s="1038"/>
      <c r="L311" s="1038"/>
      <c r="M311" s="1039"/>
    </row>
    <row r="312" spans="2:13" ht="27" customHeight="1" x14ac:dyDescent="0.2">
      <c r="B312" s="1037"/>
      <c r="C312" s="1038"/>
      <c r="D312" s="1038"/>
      <c r="E312" s="1038"/>
      <c r="F312" s="1038"/>
      <c r="G312" s="1038"/>
      <c r="H312" s="1038"/>
      <c r="I312" s="1038"/>
      <c r="J312" s="1038"/>
      <c r="K312" s="1038"/>
      <c r="L312" s="1038"/>
      <c r="M312" s="1039"/>
    </row>
    <row r="313" spans="2:13" ht="33" customHeight="1" x14ac:dyDescent="0.2">
      <c r="B313" s="1037"/>
      <c r="C313" s="1038"/>
      <c r="D313" s="1038"/>
      <c r="E313" s="1038"/>
      <c r="F313" s="1038"/>
      <c r="G313" s="1038"/>
      <c r="H313" s="1038"/>
      <c r="I313" s="1038"/>
      <c r="J313" s="1038"/>
      <c r="K313" s="1038"/>
      <c r="L313" s="1038"/>
      <c r="M313" s="1039"/>
    </row>
    <row r="314" spans="2:13" ht="11.25" customHeight="1" x14ac:dyDescent="0.2">
      <c r="B314" s="1037"/>
      <c r="C314" s="1038"/>
      <c r="D314" s="1038"/>
      <c r="E314" s="1038"/>
      <c r="F314" s="1038"/>
      <c r="G314" s="1038"/>
      <c r="H314" s="1038"/>
      <c r="I314" s="1038"/>
      <c r="J314" s="1038"/>
      <c r="K314" s="1038"/>
      <c r="L314" s="1038"/>
      <c r="M314" s="1039"/>
    </row>
    <row r="315" spans="2:13" ht="11.25" customHeight="1" x14ac:dyDescent="0.2">
      <c r="B315" s="1037"/>
      <c r="C315" s="1038"/>
      <c r="D315" s="1038"/>
      <c r="E315" s="1038"/>
      <c r="F315" s="1038"/>
      <c r="G315" s="1038"/>
      <c r="H315" s="1038"/>
      <c r="I315" s="1038"/>
      <c r="J315" s="1038"/>
      <c r="K315" s="1038"/>
      <c r="L315" s="1038"/>
      <c r="M315" s="1039"/>
    </row>
    <row r="316" spans="2:13" ht="11.25" customHeight="1" x14ac:dyDescent="0.2">
      <c r="B316" s="1037"/>
      <c r="C316" s="1038"/>
      <c r="D316" s="1038"/>
      <c r="E316" s="1038"/>
      <c r="F316" s="1038"/>
      <c r="G316" s="1038"/>
      <c r="H316" s="1038"/>
      <c r="I316" s="1038"/>
      <c r="J316" s="1038"/>
      <c r="K316" s="1038"/>
      <c r="L316" s="1038"/>
      <c r="M316" s="1039"/>
    </row>
    <row r="317" spans="2:13" ht="11.25" customHeight="1" x14ac:dyDescent="0.2">
      <c r="B317" s="1037"/>
      <c r="C317" s="1038"/>
      <c r="D317" s="1038"/>
      <c r="E317" s="1038"/>
      <c r="F317" s="1038"/>
      <c r="G317" s="1038"/>
      <c r="H317" s="1038"/>
      <c r="I317" s="1038"/>
      <c r="J317" s="1038"/>
      <c r="K317" s="1038"/>
      <c r="L317" s="1038"/>
      <c r="M317" s="1039"/>
    </row>
    <row r="318" spans="2:13" ht="11.25" customHeight="1" x14ac:dyDescent="0.2">
      <c r="B318" s="1037"/>
      <c r="C318" s="1038"/>
      <c r="D318" s="1038"/>
      <c r="E318" s="1038"/>
      <c r="F318" s="1038"/>
      <c r="G318" s="1038"/>
      <c r="H318" s="1038"/>
      <c r="I318" s="1038"/>
      <c r="J318" s="1038"/>
      <c r="K318" s="1038"/>
      <c r="L318" s="1038"/>
      <c r="M318" s="1039"/>
    </row>
    <row r="319" spans="2:13" ht="11.25" customHeight="1" x14ac:dyDescent="0.2">
      <c r="B319" s="275"/>
      <c r="C319" s="266"/>
      <c r="D319" s="266"/>
      <c r="E319" s="266"/>
      <c r="F319" s="266"/>
      <c r="G319" s="266"/>
      <c r="H319" s="266"/>
      <c r="I319" s="266"/>
      <c r="J319" s="266"/>
      <c r="K319" s="266"/>
      <c r="L319" s="266"/>
      <c r="M319" s="276"/>
    </row>
    <row r="320" spans="2:13" ht="11.25" customHeight="1" x14ac:dyDescent="0.2">
      <c r="B320" s="1032" t="s">
        <v>1124</v>
      </c>
      <c r="C320" s="1070"/>
      <c r="D320" s="1070"/>
      <c r="E320" s="1070"/>
      <c r="F320" s="1070"/>
      <c r="G320" s="1070"/>
      <c r="H320" s="1070"/>
      <c r="I320" s="1070"/>
      <c r="J320" s="1070"/>
      <c r="K320" s="1070"/>
      <c r="L320" s="1070"/>
      <c r="M320" s="1071"/>
    </row>
    <row r="321" spans="2:13" ht="11.25" customHeight="1" x14ac:dyDescent="0.2">
      <c r="B321" s="1032"/>
      <c r="C321" s="1070"/>
      <c r="D321" s="1070"/>
      <c r="E321" s="1070"/>
      <c r="F321" s="1070"/>
      <c r="G321" s="1070"/>
      <c r="H321" s="1070"/>
      <c r="I321" s="1070"/>
      <c r="J321" s="1070"/>
      <c r="K321" s="1070"/>
      <c r="L321" s="1070"/>
      <c r="M321" s="1071"/>
    </row>
    <row r="322" spans="2:13" ht="11.25" customHeight="1" x14ac:dyDescent="0.2">
      <c r="B322" s="1032"/>
      <c r="C322" s="1070"/>
      <c r="D322" s="1070"/>
      <c r="E322" s="1070"/>
      <c r="F322" s="1070"/>
      <c r="G322" s="1070"/>
      <c r="H322" s="1070"/>
      <c r="I322" s="1070"/>
      <c r="J322" s="1070"/>
      <c r="K322" s="1070"/>
      <c r="L322" s="1070"/>
      <c r="M322" s="1071"/>
    </row>
    <row r="323" spans="2:13" ht="11.25" customHeight="1" x14ac:dyDescent="0.2">
      <c r="B323" s="1032"/>
      <c r="C323" s="1070"/>
      <c r="D323" s="1070"/>
      <c r="E323" s="1070"/>
      <c r="F323" s="1070"/>
      <c r="G323" s="1070"/>
      <c r="H323" s="1070"/>
      <c r="I323" s="1070"/>
      <c r="J323" s="1070"/>
      <c r="K323" s="1070"/>
      <c r="L323" s="1070"/>
      <c r="M323" s="1071"/>
    </row>
    <row r="324" spans="2:13" ht="11.25" customHeight="1" x14ac:dyDescent="0.2">
      <c r="B324" s="1032"/>
      <c r="C324" s="1070"/>
      <c r="D324" s="1070"/>
      <c r="E324" s="1070"/>
      <c r="F324" s="1070"/>
      <c r="G324" s="1070"/>
      <c r="H324" s="1070"/>
      <c r="I324" s="1070"/>
      <c r="J324" s="1070"/>
      <c r="K324" s="1070"/>
      <c r="L324" s="1070"/>
      <c r="M324" s="1071"/>
    </row>
    <row r="325" spans="2:13" ht="11.25" customHeight="1" x14ac:dyDescent="0.2">
      <c r="B325" s="1032"/>
      <c r="C325" s="1070"/>
      <c r="D325" s="1070"/>
      <c r="E325" s="1070"/>
      <c r="F325" s="1070"/>
      <c r="G325" s="1070"/>
      <c r="H325" s="1070"/>
      <c r="I325" s="1070"/>
      <c r="J325" s="1070"/>
      <c r="K325" s="1070"/>
      <c r="L325" s="1070"/>
      <c r="M325" s="1071"/>
    </row>
    <row r="326" spans="2:13" ht="11.25" customHeight="1" x14ac:dyDescent="0.2">
      <c r="B326" s="1032"/>
      <c r="C326" s="1070"/>
      <c r="D326" s="1070"/>
      <c r="E326" s="1070"/>
      <c r="F326" s="1070"/>
      <c r="G326" s="1070"/>
      <c r="H326" s="1070"/>
      <c r="I326" s="1070"/>
      <c r="J326" s="1070"/>
      <c r="K326" s="1070"/>
      <c r="L326" s="1070"/>
      <c r="M326" s="1071"/>
    </row>
    <row r="327" spans="2:13" ht="11.25" customHeight="1" x14ac:dyDescent="0.2">
      <c r="B327" s="1032"/>
      <c r="C327" s="1070"/>
      <c r="D327" s="1070"/>
      <c r="E327" s="1070"/>
      <c r="F327" s="1070"/>
      <c r="G327" s="1070"/>
      <c r="H327" s="1070"/>
      <c r="I327" s="1070"/>
      <c r="J327" s="1070"/>
      <c r="K327" s="1070"/>
      <c r="L327" s="1070"/>
      <c r="M327" s="1071"/>
    </row>
    <row r="328" spans="2:13" ht="11.25" customHeight="1" thickBot="1" x14ac:dyDescent="0.25">
      <c r="B328" s="1033"/>
      <c r="C328" s="1072"/>
      <c r="D328" s="1072"/>
      <c r="E328" s="1072"/>
      <c r="F328" s="1072"/>
      <c r="G328" s="1072"/>
      <c r="H328" s="1072"/>
      <c r="I328" s="1072"/>
      <c r="J328" s="1072"/>
      <c r="K328" s="1072"/>
      <c r="L328" s="1072"/>
      <c r="M328" s="1073"/>
    </row>
    <row r="329" spans="2:13" ht="11.25" customHeight="1" thickBot="1" x14ac:dyDescent="0.25"/>
    <row r="330" spans="2:13" ht="30.75" customHeight="1" thickBot="1" x14ac:dyDescent="0.25">
      <c r="B330" s="1065" t="s">
        <v>1104</v>
      </c>
      <c r="C330" s="1066"/>
      <c r="D330" s="1066"/>
      <c r="E330" s="1066"/>
      <c r="F330" s="1066"/>
      <c r="G330" s="1066"/>
      <c r="H330" s="1066"/>
      <c r="I330" s="1066"/>
      <c r="J330" s="1063" t="s">
        <v>545</v>
      </c>
      <c r="K330" s="1063"/>
      <c r="L330" s="1063"/>
      <c r="M330" s="1064"/>
    </row>
    <row r="331" spans="2:13" ht="35.25" customHeight="1" thickBot="1" x14ac:dyDescent="0.25">
      <c r="B331" s="1058" t="s">
        <v>1023</v>
      </c>
      <c r="C331" s="1059"/>
      <c r="D331" s="1063" t="s">
        <v>545</v>
      </c>
      <c r="E331" s="1063"/>
      <c r="F331" s="1063"/>
      <c r="G331" s="1064"/>
      <c r="H331" s="1058" t="s">
        <v>991</v>
      </c>
      <c r="I331" s="1059"/>
      <c r="J331" s="1221" t="str">
        <f>IF('FIRME-CONTROLLO DATI'!J23&lt;&gt;"",'FIRME-CONTROLLO DATI'!J23,"")</f>
        <v/>
      </c>
      <c r="K331" s="1221"/>
      <c r="L331" s="1221"/>
      <c r="M331" s="1222"/>
    </row>
    <row r="332" spans="2:13" ht="33" customHeight="1" x14ac:dyDescent="0.2"/>
    <row r="333" spans="2:13" ht="36.75" customHeight="1" x14ac:dyDescent="0.2"/>
    <row r="334" spans="2:13" ht="38.25" customHeight="1" x14ac:dyDescent="0.2"/>
    <row r="335" spans="2:13" ht="43.5" customHeight="1" x14ac:dyDescent="0.2"/>
  </sheetData>
  <sheetProtection algorithmName="SHA-512" hashValue="Y2B73g2v1BTtoF0ani56AjjvQczQLuIUQlcviRp7orY7TBMQwmYCltf9MFIBu27KolMnDSrdMrLgrYmkk7QoQw==" saltValue="/SKD4g0RkqYRLel67yLIvQ==" spinCount="100000" sheet="1" objects="1" scenarios="1"/>
  <protectedRanges>
    <protectedRange algorithmName="SHA-512" hashValue="fXayNQu/7IPxzD1jwtL8XklAAd/rLlXZOK91/pe6ZPSzKhj0yPmHe7DgopFKHg04YffO7XeYjvXhP7dAWQ5VQg==" saltValue="lWzNMDJ6+li/sG49eFsfCg==" spinCount="100000" sqref="F250:G250 L246:M246 L248:M248 L250:M250 C251 B255:M274 F277:G277 L277:M277 F278 D285:D286 F285:M286 C287 B290 J330 D331" name="OPEE 5 l"/>
    <protectedRange algorithmName="SHA-512" hashValue="Lhm9w5Ar+z3IMK+Uma0P/6f3t023/7wZ5s8aXcMknXSrtAIOrdzfd5cGGi2NhPyEN7+WWsxf2AOeO+9mQVVHtA==" saltValue="2u4RI8cKXbYVrmAg3sG8VA==" spinCount="100000" sqref="I217 M217 G219 K219 C221:C231 E221:M231 D233:D234 F233:M234 C236 B240:E240 E241:G241 I241 L241 C242 F246:G246 F248:G248" name="OPEE 5 i"/>
    <protectedRange algorithmName="SHA-512" hashValue="285NGK/DaIapOOMIp4v4ZCGdRLu7LSdpdy6Y2VvzuWx8FpbZWFDTC0ISOkIfPQRA0+0V4FKWpDPOu2V+N2d6Mg==" saltValue="bMdMazqvmh14tHeF00V0dQ==" spinCount="100000" sqref="B200:D201 E184:M201 D203:D204 F203:M204 E206 G206 I206 C207 E210 G210 D211 K210:K212 M210:M212 D214:D215 F214:M215 C217 G217" name="OPEE 5 h"/>
    <protectedRange algorithmName="SHA-512" hashValue="pT1de7xILq0PmMCDayp6JA31RXf8kZG5AC6G3WD5QR8f8bMcASsNXW/vVA++D93pgfflJGMBGKSUY5A9uNPQew==" saltValue="hBc+1Mj5EKtuLhbFjZnKAQ==" spinCount="100000" sqref="F250:G250 L246:M246 L248:M248 L250:M250 C251 B255:M274 F277:G277 L277:M277 F278 D285:D286 F285:M286 C287 B290 J330 D331" name="OPEE 4 l"/>
    <protectedRange algorithmName="SHA-512" hashValue="Pt2V2hXYdXVX3MHz37v1IbCpvkzo5+UNQQ0gG5vTB+oRsCgbPN8mIynkBRt785VuxpNCMgHvdQ2UVf9sY1ZgQA==" saltValue="aJcWNl1IOe0u1NX3t5XLGw==" spinCount="100000" sqref="I217 M217 G219 K219 C221:C231 E221:M231 D233:D234 F233:M234 C236 B240:E240 E241:G241 I241 L241 C242 F246:G246 F248:G248" name="OPEE 4 i"/>
    <protectedRange algorithmName="SHA-512" hashValue="0Pwtg97EMGj4wat3jy5ckUyWsbx1gYAXIFahgN5YtC/85xhaqzNAEoCW9D13fKUYIDlFNoo3IpvRuxQhfpqikg==" saltValue="8UAAhSTU2QsU0Vy28SVgUA==" spinCount="100000" sqref="B200:D201 E184:M201 D203:D204 F203:M204 E206 G206 I206 C207 E210 G210 D211 K210:K212 M210:M212 D214:D215 F214:M215 C217 G217" name="OPEE 4 h"/>
    <protectedRange algorithmName="SHA-512" hashValue="HCrb1pRmuK+dVvU+Yi/q0RMXppXwruY4wceUT2I1X4QAB//uouWWZ9Tky/q1O3WVEt+C1FQuxts9vFcuYZTxSg==" saltValue="5jY/F0zxm7yGRoNFuUtaig==" spinCount="100000" sqref="F250:G250 L246:M246 L248:M248 L250:M250 C251 B255:M274 F277:G277 L277:M277 F278 D285:D286 F285:M286 C287 B290 J330 D331" name="OPEE 3 l"/>
    <protectedRange algorithmName="SHA-512" hashValue="JPvOhQ0ZKhkZnMSE3Yrydjh1LJjPLBcydI6D1tC9FiahgX4GqcBqxiz1nf3BPJUMgN0oDSkhwVzPYPDlC+KiiQ==" saltValue="vkw6oz3kT+Bq32KLlXks6g==" spinCount="100000" sqref="I217 M217 G219 K219 C221:C231 E221:M231 D233:D234 F233:M234 C236 B240:E240 E241:G241 I241 L241 C242 F246:G246 F248:G248" name="OPEE 3 i"/>
    <protectedRange algorithmName="SHA-512" hashValue="NrbskXQRuuFS/QBZBZ4+NKcO+VU6znm6PJbn/eSNdRoSzKlVylu0405680lU4iBJBmTCKWLj7VT1xq/fRDudxw==" saltValue="UVONU0UdxdZg41JK9Dbi+Q==" spinCount="100000" sqref="B200:D201 E184:M201 D203:D204 F203:M204 E206 G206 I206 C207 E210 G210 D211 K210:K212 M210:M212 D214:D215 F214:M215 C217 G217" name="OPEE 3 h"/>
    <protectedRange algorithmName="SHA-512" hashValue="MTn4TpRavHZ5COX5B2aO8lhmFvi1DyZ1AVkyCBiHudHwvNixejpQVUegRnIK4mz8eRDsipAe+uMlmStOuCRqog==" saltValue="vkL2orvtoC8YlTpqstTGaQ==" spinCount="100000" sqref="I217 M217 G219 K219 C221:C231 E221:M231 D233:D234 F233:M234 C236 B240:E240 E241:G241 I241 L241 C242 F246:G246 F248:G248" name="OPEE 2 i"/>
    <protectedRange algorithmName="SHA-512" hashValue="WseIszhpXTKGEJAyQJxhVJ0iMGcro1ekdnTNOU8mLb5W8le3YYS3CAqRE6LIDIF+600mfgP+rZhWSBXRNz9ByA==" saltValue="e/2NhPAKJQBkgs9iSnEkVQ==" spinCount="100000" sqref="E149 B151:M155 C156 C160 E161 G161 D162:G164 C165 I160 K161 M161 J162:M164 I165 F168:I169 L169:M169 H171:I171 L171:M172 I172 F172" name="OPEE 5 f"/>
    <protectedRange algorithmName="SHA-512" hashValue="KBg+B6Ev69oUXCK2qol4OOP7E4Qx77q11iyQ8GMYcqhDkiChFIv4HgibM4tG8owUvHth97rfKWjfH92auVpisg==" saltValue="y4qQIogZIn/Cn1BZVnYU7Q==" spinCount="100000" sqref="E149 B151:M155 C156 C160 E161 G161 D162:G164 C165 I160 K161 M161 J162:M164 I165 F168:I169 L169:M169 H171:I171 L171:M172 I172 F172" name="OPEE 4 f"/>
    <protectedRange algorithmName="SHA-512" hashValue="yXnQITTKQkgUSX0wHfI546fq/7Mr61lVEUiD8iQIXVWR/FOru2GSEWsxzOmWEWq1jFJkUPCi9/ocYEADq/C7Gg==" saltValue="mkhah0a1wZTYWnDR18pq/w==" spinCount="100000" sqref="E149 B151:M155 C156 C160 E161 G161 D162:G164 C165 I160 K161 M161 J162:M164 I165 F168:I169 L169:M169 H171:I171 L171:M172 I172 F172" name="OPEE 3 f"/>
    <protectedRange algorithmName="SHA-512" hashValue="MZr1IY9lCf1HZEIDipts5lJKpPbaJm2CdZJszYKKc/JRn4Gxa99iX/ZezGp6+BkMpC5Md009tkEqJM3wa1Vebg==" saltValue="+V/gv7SnwacmM8CYOFzA2g==" spinCount="100000" sqref="K80 M78:M80 C81 E85:G85 L85:M85 E87:G87 L87:M87 C88 D91:D92 F91:M92 E95:G95 F96:G98 E97:E98 L95:M97 K98:M98 F103:G103 F105:G105" name="OPEE 5 c"/>
    <protectedRange algorithmName="SHA-512" hashValue="AOFqJtp4wDSo38G5bFlSsua4oYss1sWxUzbFxUjUMlzDcISzttls1o42T0UcfHlxJtQjtbunzld0GgbXGp/DpQ==" saltValue="nDiA2xlpe97NN9/pZTPxug==" spinCount="100000" sqref="K80 M78:M80 C81 E85:G85 L85:M85 E87:G87 L87:M87 C88 D91:D92 F91:M92 E95:G95 F96:G98 E97:E98 L95:M97 K98:M98 F103:G103 F105:G105" name="OPEE 4 c"/>
    <protectedRange algorithmName="SHA-512" hashValue="R3JoaicJnrU//HpULXrMs9ZFfK8pH8DpFjh8mjYFFZ615JL4Z9iPpU2qnOBO5yisuWESiDv4IOXWGoCOsnKWVA==" saltValue="CBpKqvnzVDJUyN5DGChpfQ==" spinCount="100000" sqref="K80 M78:M80 C81 E85:G85 L85:M85 E87:G87 L87:M87 C88 D91:D92 F91:M92 E95:G95 F96:G98 E97:E98 L95:M97 K98:M98 F103:G103 F105:G105" name="OPEE 3 c"/>
    <protectedRange algorithmName="SHA-512" hashValue="yQgcOrBargav0R/e63o1XxmdnwWRzUN6ICgPDIaduwtZNUusV9xKnFQBBBfJEZfzTu632C2gLG4T1oB6C5nATg==" saltValue="IsH5bq/TgoI/8UCgVBX8RQ==" spinCount="100000" sqref="D7:G8 E9 G9 J9 F10 H10 J10 E12:M14 E15 J15 E16:M18 E19 I19 E20 I20 L20 E21 L21 C22 D26:G33 J26 L26 J27 M27 J28:M29 K31:M33 J34" name="OPEE 5 a"/>
    <protectedRange algorithmName="SHA-512" hashValue="QBVZ3sQ9Y+2o0NUrh8y5K9gEYlRsbU1zF4RDQpSWWPylR+mglxqoXfGUi+IqLEGqpJLmfmEstcDWwv2pPJElSg==" saltValue="aoPOAFn4R3EdZf5XfRUGhw==" spinCount="100000" sqref="D7:G8 E9 G9 J9 F10 H10 J10 E12:M14 E15 J15 E16:M18 E19 I19 E20 I20 L20 E21 L21 C22 D26:G33 J26 L26 J27 M27 J28:M29 K31:M33 J34" name="OPEE 4 a"/>
    <protectedRange algorithmName="SHA-512" hashValue="qJ/QXp4ZoBMe1CHKjQJZvEhvHQNdidRD1V7Jn2x65eAJe/DmXW90rE2lSycF0DK2woHXzl2+pUN7KSyXsQM6cw==" saltValue="aFV4q5p9PCLbWCYqEB2/Dw==" spinCount="100000" sqref="D7:G8 E9 G9 J9 F10 H10 J10 E12:M14 E15 J15 E16:M18 E19 I19 E20 I20 L20 E21 L21 C22 D26:G33 J26 L26 J27 M27 J28:M29 K31:M33 J34" name="OPEE 3 a"/>
    <protectedRange algorithmName="SHA-512" hashValue="V5lR5EUkSAjARHT7ltmdOlazuEsaxK6kg8mU3bxpB8feuSM6qCDlnrHOuhiNnn88BsMvz4Gvl7BQiz1bRD6IlA==" saltValue="dIMkoTdEIIjmUL9Iu5kOIQ==" spinCount="100000" sqref="C173 D176 E177 G177 K177 M177 K178 M178 D180:D181 F180:M181 D183 G183 B185:D186 B188:D189 B191:D192 B194:D195 B197:D198" name="OPEE 2 g"/>
    <protectedRange algorithmName="SHA-512" hashValue="LDOQ89rkPoh9Gz/EePXZrJE9z3tTNf8k+LKEwux8vmF8Gmfb1+FUETfdCDgZ8oOtQA0FgAbSd2I7Vdh+f1Wnpw==" saltValue="gIHB1marc/pkW0wJ7YDRMw==" spinCount="100000" sqref="E149 B151:M155 C156 C160 E161 G161 D162:G164 C165 I160 K161 M161 J162:M164 I165 F168:I169 L169:M169 H171:I171 L171:M172 I172 F172" name="OPEE 2 f"/>
    <protectedRange algorithmName="SHA-512" hashValue="S1D41J9gfSrbSIN1sMhHffH+tZDs6jodYF+2+g/AIt5dkgdxbRdFOAxlTmMrGgeFRlLxftDLhsvjuVstnpZ6eg==" saltValue="jeD4tzYK2pujOe4OEMlung==" spinCount="100000" sqref="E122:J123 L121:M123 F124 K124:K125 M124:M125 C126 F128:G128 L128:M128 D129 F133:G135 L133:M136 C137 J138:M138 E141 B143:M147" name="OPEE 2 e"/>
    <protectedRange algorithmName="SHA-512" hashValue="qOZg4ibQ7El3pgdAkObtYxZ7OrrCvpUeaZJh2DiXHowYgDZMdJLm1YmojkR61V5wO9nj/oQ9cjmysvMeHKQmkQ==" saltValue="D/z4eSOQMPZbc2z/y0ZL1w==" spinCount="100000" sqref="F107:G107 L103:M107 C108 K111 F112:I112 F114:M114 D115 F115 I115 K115 M115 H116 K117:M117 F119:G119 J119:M119 K120 M120 C122" name="OPEE 2 d"/>
    <protectedRange algorithmName="SHA-512" hashValue="adOAtX3t1mBTvbIa/Qwg20RTmzhzHuPI163eCCxPLMisPsglyZF7/PcRTU/ic7zY2b9VmuEvNv3rGOuMj4qjqQ==" saltValue="ilR54WjAECeDFHCkDtc3eQ==" spinCount="100000" sqref="K80 M78:M80 C81 E85:G85 L85:M85 E87:G87 L87:M87 C88 D91:D92 F91:M92 E95:G95 F96:G98 E97:E98 L95:M97 K98:M98 F103:G103 F105:G105" name="OPEE 2 c"/>
    <protectedRange algorithmName="SHA-512" hashValue="CLq+5Vz8JupdJcGFa1kc43hgi0xKS3oWmBnJWSTHd/tVHuYv3+Z1VOPO7/XY/R2MlcivDrU05LwrzVpVB0Uyew==" saltValue="ZKC8P+3vQry63+bvSo8x9A==" spinCount="100000" sqref="D35:G35 J36:M37 F37:G37 C38 D42:M59 E60:E61 G60:G61 J60:J61 C62 C66:H66 L65 F68:H68 L68:M70 F70:H70 D71:M72 E74:F74 L74:M74 C75 C78 C79:I80" name="OPEE 2 b"/>
    <protectedRange algorithmName="SHA-512" hashValue="AZGEdy5mbrmf4qUTkzW9vFeItPFZI46uiYFIqOzGqZFNjZyNPbLKzuFYFI14nigk7Jz5a3bAvpi/vBCdk5gotw==" saltValue="SC832IitehSZbdcCt1Wd4A==" spinCount="100000" sqref="D7:G8 E9 G9 J9 F10 H10 J10 E12:M14 E15 J15 E16:M18 E19 I19 E20 I20 L20 E21 L21 C22 D26:G33 J26 L26 J27 M27 J28:M29 K31:M33 J34" name="OPEE 2 a"/>
    <protectedRange algorithmName="SHA-512" hashValue="PkFpB5j1lHX15NFZqhwEAJlyTz2sJZOY80Ru/JTUTOCmwzsjCNpEiMElsMonQbPKMfsycBNvZSX3SrYdAVa3MA==" saltValue="POYwsEmZylsbZQjbr6h7LQ==" spinCount="100000" sqref="D35:G35 J36:M37 F37:G37 C38 D42:M59 E60:E61 G60:G61 J60:J61 C62 C66:H66 L65 F68:H68 L68:M70 F70:H70 D71:M72 E74:F74 L74:M74 C75 C78 C79:I80" name="OPEE 3 b"/>
    <protectedRange algorithmName="SHA-512" hashValue="UlglJKuDQqy1URI68rtECF65y1Hxil92Jd5SzaA0q0USlPCPjZN2mcgP02n/RQvShAaBdk8w4kSlXpeeoWp7Dw==" saltValue="J24PecJ4XUlIzBkbaOuEUg==" spinCount="100000" sqref="D35:G35 J36:M37 F37:G37 C38 D42:M59 E60:E61 G60:G61 J60:J61 C62 C66:H66 L65 F68:H68 L68:M70 F70:H70 D71:M72 E74:F74 L74:M74 C75 C78 C79:I80" name="OPEE 4 b"/>
    <protectedRange algorithmName="SHA-512" hashValue="a/cQLBXYDX1/0yh0LgcgT+iQC4j3kp6yhNH9czBbLEshyal7NW3X5yLUd4jF/gyhAeFJDnI4TJaoUjfFrzH9tw==" saltValue="5tOQex3uqyRmlJq8pl/cDQ==" spinCount="100000" sqref="D35:G35 J36:M37 F37:G37 C38 D42:M59 E60:E61 G60:G61 J60:J61 C62 C66:H66 L65 F68:H68 L68:M70 F70:H70 D71:M72 E74:F74 L74:M74 C75 C78 C79:I80" name="OPEE 5 b"/>
    <protectedRange algorithmName="SHA-512" hashValue="OK5GX3+D/6/k8QbgEkIK48DgnpphqPZHagfcnHUT8SlfO5vElDLdB629j5/62at4IpnTKEXY3MHfFWVx8qmX/g==" saltValue="d9BFpxs7MzIDJX83NF2ozw==" spinCount="100000" sqref="F107:G107 L103:M107 C108 K111 F112:I112 F114:M114 D115 F115 I115 K115 M115 H116 K117:M117 F119:G119 J119:M119 K120 M120 C122" name="OPEE 3 d"/>
    <protectedRange algorithmName="SHA-512" hashValue="z2wI6gZPwufTzgwk0YVONhVK/J122EipUeP2vqYCM8e+VInl8/yag2L5B/hiM9oOXrEdsdPPVDWnaPCKqFLlag==" saltValue="YaucP0swrpNDpof2H/ZY9g==" spinCount="100000" sqref="F107:G107 L103:M107 C108 K111 F112:I112 F114:M114 D115 F115 I115 K115 M115 H116 K117:M117 F119:G119 J119:M119 K120 M120 C122" name="OPEE 4 d"/>
    <protectedRange algorithmName="SHA-512" hashValue="uqZ/EZBd77tkaV77nPi/Tj3YIa9KDxsRUdT7u4wtQFrOUwfoNgFzlDmsjwMgn7tvxLNAu3QXOlTDkBbg0JuK1Q==" saltValue="t4C6jFoMfjkC8F/XqZ5qRQ==" spinCount="100000" sqref="F107:G107 L103:M107 C108 K111 F112:I112 F114:M114 D115 F115 I115 K115 M115 H116 K117:M117 F119:G119 J119:M119 K120 M120 C122" name="OPEE 5 d"/>
    <protectedRange algorithmName="SHA-512" hashValue="wPlPSl917gTwYoSWgUnqyN4vbXUpkQ6DS75GPPq3gAiP9qvLh9EJQYD/sAeAvkOAj0cVop4Xp2qJwYFc4kGDAQ==" saltValue="jkGeJGpe2LaW8X+FM8KVxw==" spinCount="100000" sqref="E122:J123 L121:M123 F124 K124:K125 M124:M125 C126 F128:G128 L128:M128 D129 F133:G135 L133:M136 C137 J138:M138 E141 B143:M147" name="OPEE 3 e"/>
    <protectedRange algorithmName="SHA-512" hashValue="Ju5qFZgvpmTdLcq3GgfjpAAM4gkkHUp6oRt2RUgNA0gPX+JDeU2Xb78XAgvA++cYgom83l8UfbdugRixPnkFBg==" saltValue="WLXbNBzHVOmqJkEIdNS0AA==" spinCount="100000" sqref="E122:J123 L121:M123 F124 K124:K125 M124:M125 C126 F128:G128 L128:M128 D129 F133:G135 L133:M136 C137 J138:M138 E141 B143:M147" name="OPEE 4 e"/>
    <protectedRange algorithmName="SHA-512" hashValue="1bw2IiFQLuj4VkmEV7X4pXEj8tbk8jOZkXQ1Gio5GLY3IRK1b9UQkOotAMtcnYpk58DehiFrZAEjx8zlJl/u2g==" saltValue="AOi8y/XM3TxUMpqdudMPRQ==" spinCount="100000" sqref="E122:J123 L121:M123 F124 K124:K125 M124:M125 C126 F128:G128 L128:M128 D129 F133:G135 L133:M136 C137 J138:M138 E141 B143:M147" name="OPEE 5 e"/>
    <protectedRange algorithmName="SHA-512" hashValue="iYn+secPMAnIv2/wBrpT5PWelcro4n3DjBB7THv+e2SkVfHa/m8n8FF3/rVj+xObzWdfaVGlAlBrdTXSV9YqpQ==" saltValue="uTTLyAe3T9XHBJKUDdmE9A==" spinCount="100000" sqref="C173 D176 E177 G177 K177 M177 K178 M178 D180:D181 F180:M181 D183 G183 B185:D186 B188:D189 B191:D192 B194:D195 B197:D198" name="OPEE 3 g"/>
    <protectedRange algorithmName="SHA-512" hashValue="UxSAUoeNVYW/1jmjBeTE/E8t+48MiivTDgEgy5rvrEY+uqilKQHM+zS013ypPhCPJhTmTxIMslw/D5t8SVKNPQ==" saltValue="NL6lqtINP8lUvcrytivPWg==" spinCount="100000" sqref="C173 D176 E177 G177 K177 M177 K178 M178 D180:D181 F180:M181 D183 G183 B185:D186 B188:D189 B191:D192 B194:D195 B197:D198" name="OPEE 4 g"/>
    <protectedRange algorithmName="SHA-512" hashValue="tP3Phc+GpRD8ElGTNlVBhJJoZT4ej32AFi4r0uBvNLafD4CHpZUACQdfNhMS5oTfoNxsJeR8xi+rieIR6mjgiA==" saltValue="THpD1o7/mYZagDbmcDXitA==" spinCount="100000" sqref="C173 D176 E177 G177 K177 M177 K178 M178 D180:D181 F180:M181 D183 G183 B185:D186 B188:D189 B191:D192 B194:D195 B197:D198" name="OPEE 5 g"/>
    <protectedRange algorithmName="SHA-512" hashValue="pPjR6cx9Gl3O3StkL/GrtCVRXxAZdR5/MqAx6Ii7IQLts8nOgAQLDgFdzvBx5Ps0OrWJUc41r272ecnFbepDCw==" saltValue="AA0bEghrRdSuuZck7yzewQ==" spinCount="100000" sqref="J7:M8 F282 C320" name="OPE a"/>
    <protectedRange algorithmName="SHA-512" hashValue="Fq+jz0XP0OvipB6avHw9RmNYRHb/G7cTQqHA7G1gOdH4O/OiN9MaoAvK9mGId6LXPD+/5QaP8siFy5E8jHfTMw==" saltValue="4sjiibMGznB1PqECk2WKBg==" spinCount="100000" sqref="B200:D201 E184:M201 D203:D204 F203:M204 E206 G206 I206 C207 E210 G210 D211 K210:K212 M210:M212 D214:D215 F214:M215 C217 G217" name="OPEE 2 h"/>
    <protectedRange algorithmName="SHA-512" hashValue="RMiQfBlYzDlSqwwxykkrK/PS4sZHulWh09b5WZQJmSE7oXg2tSXaGx77VsRnFz/sU8afdE58W1FcTT48NeLZqg==" saltValue="r5lqlXgSBMbYjO2bRxB+JA==" spinCount="100000" sqref="F250:G250 L246:M246 L248:M248 L250:M250 C251 B255:M274 F277:G277 L277:M277 F278 D285:D286 F285:M286 C287 B290 J330 D331" name="OPEE 2 l"/>
  </protectedRanges>
  <mergeCells count="491">
    <mergeCell ref="H178:I178"/>
    <mergeCell ref="B178:G178"/>
    <mergeCell ref="B212:G212"/>
    <mergeCell ref="H212:I212"/>
    <mergeCell ref="H103:K103"/>
    <mergeCell ref="B159:G159"/>
    <mergeCell ref="H159:M159"/>
    <mergeCell ref="B98:D98"/>
    <mergeCell ref="B96:E96"/>
    <mergeCell ref="F116:G117"/>
    <mergeCell ref="H116:J117"/>
    <mergeCell ref="L118:M118"/>
    <mergeCell ref="B116:E117"/>
    <mergeCell ref="B118:E119"/>
    <mergeCell ref="H118:I119"/>
    <mergeCell ref="B148:M148"/>
    <mergeCell ref="J111:J112"/>
    <mergeCell ref="K111:M112"/>
    <mergeCell ref="B142:G142"/>
    <mergeCell ref="B143:G143"/>
    <mergeCell ref="B144:G144"/>
    <mergeCell ref="B145:G145"/>
    <mergeCell ref="B146:G146"/>
    <mergeCell ref="B129:C129"/>
    <mergeCell ref="H104:K104"/>
    <mergeCell ref="H105:K105"/>
    <mergeCell ref="H106:K106"/>
    <mergeCell ref="H107:K107"/>
    <mergeCell ref="B103:E103"/>
    <mergeCell ref="B104:E104"/>
    <mergeCell ref="B105:E105"/>
    <mergeCell ref="B106:E106"/>
    <mergeCell ref="B107:E107"/>
    <mergeCell ref="F239:F240"/>
    <mergeCell ref="I239:I240"/>
    <mergeCell ref="J239:J240"/>
    <mergeCell ref="K239:K240"/>
    <mergeCell ref="G239:G240"/>
    <mergeCell ref="C156:M156"/>
    <mergeCell ref="B113:E114"/>
    <mergeCell ref="J119:K119"/>
    <mergeCell ref="B121:D121"/>
    <mergeCell ref="J118:K118"/>
    <mergeCell ref="L119:M119"/>
    <mergeCell ref="C126:M126"/>
    <mergeCell ref="H133:K133"/>
    <mergeCell ref="H134:K134"/>
    <mergeCell ref="H135:K135"/>
    <mergeCell ref="B133:E133"/>
    <mergeCell ref="B134:E134"/>
    <mergeCell ref="B130:M130"/>
    <mergeCell ref="B137:B138"/>
    <mergeCell ref="C137:G138"/>
    <mergeCell ref="J138:K138"/>
    <mergeCell ref="B125:I125"/>
    <mergeCell ref="B127:E128"/>
    <mergeCell ref="H127:K128"/>
    <mergeCell ref="D331:G331"/>
    <mergeCell ref="J331:M331"/>
    <mergeCell ref="C173:M173"/>
    <mergeCell ref="C242:M242"/>
    <mergeCell ref="C251:M251"/>
    <mergeCell ref="C236:M236"/>
    <mergeCell ref="D78:I78"/>
    <mergeCell ref="C79:I79"/>
    <mergeCell ref="J78:K79"/>
    <mergeCell ref="C80:I80"/>
    <mergeCell ref="B124:D124"/>
    <mergeCell ref="H124:I124"/>
    <mergeCell ref="F124:G124"/>
    <mergeCell ref="L121:M121"/>
    <mergeCell ref="L122:M122"/>
    <mergeCell ref="B111:E112"/>
    <mergeCell ref="B100:M100"/>
    <mergeCell ref="B101:G101"/>
    <mergeCell ref="H101:M101"/>
    <mergeCell ref="C108:M108"/>
    <mergeCell ref="B241:D241"/>
    <mergeCell ref="L241:M241"/>
    <mergeCell ref="H239:H240"/>
    <mergeCell ref="B120:I120"/>
    <mergeCell ref="E16:M16"/>
    <mergeCell ref="B20:D20"/>
    <mergeCell ref="E20:F20"/>
    <mergeCell ref="G20:H20"/>
    <mergeCell ref="L20:M20"/>
    <mergeCell ref="L28:M28"/>
    <mergeCell ref="B28:C28"/>
    <mergeCell ref="D28:G28"/>
    <mergeCell ref="K27:L27"/>
    <mergeCell ref="B30:C30"/>
    <mergeCell ref="E17:M17"/>
    <mergeCell ref="B18:D18"/>
    <mergeCell ref="E18:M18"/>
    <mergeCell ref="B19:D19"/>
    <mergeCell ref="E19:F19"/>
    <mergeCell ref="B32:C32"/>
    <mergeCell ref="D30:G30"/>
    <mergeCell ref="H34:I34"/>
    <mergeCell ref="J34:M34"/>
    <mergeCell ref="D32:G32"/>
    <mergeCell ref="H33:J33"/>
    <mergeCell ref="K33:M33"/>
    <mergeCell ref="B33:C33"/>
    <mergeCell ref="D33:E33"/>
    <mergeCell ref="F33:G33"/>
    <mergeCell ref="G19:H19"/>
    <mergeCell ref="I19:M19"/>
    <mergeCell ref="H29:I29"/>
    <mergeCell ref="J29:K29"/>
    <mergeCell ref="L29:M29"/>
    <mergeCell ref="H30:J31"/>
    <mergeCell ref="B31:C31"/>
    <mergeCell ref="D31:G31"/>
    <mergeCell ref="E15:H15"/>
    <mergeCell ref="B29:C29"/>
    <mergeCell ref="D29:G29"/>
    <mergeCell ref="H28:I28"/>
    <mergeCell ref="B24:M24"/>
    <mergeCell ref="J25:K25"/>
    <mergeCell ref="L25:M25"/>
    <mergeCell ref="B27:C27"/>
    <mergeCell ref="D27:G27"/>
    <mergeCell ref="H27:I27"/>
    <mergeCell ref="B25:C26"/>
    <mergeCell ref="H25:I26"/>
    <mergeCell ref="J26:K26"/>
    <mergeCell ref="L26:M26"/>
    <mergeCell ref="J28:K28"/>
    <mergeCell ref="C22:M22"/>
    <mergeCell ref="C15:D15"/>
    <mergeCell ref="J20:K20"/>
    <mergeCell ref="J15:M15"/>
    <mergeCell ref="B21:D21"/>
    <mergeCell ref="E21:J21"/>
    <mergeCell ref="L21:M21"/>
    <mergeCell ref="B17:D17"/>
    <mergeCell ref="C16:D16"/>
    <mergeCell ref="B1:F4"/>
    <mergeCell ref="G1:J4"/>
    <mergeCell ref="K1:M4"/>
    <mergeCell ref="B7:C7"/>
    <mergeCell ref="H9:I9"/>
    <mergeCell ref="J9:M9"/>
    <mergeCell ref="D7:E7"/>
    <mergeCell ref="F7:G7"/>
    <mergeCell ref="E14:M14"/>
    <mergeCell ref="B10:C10"/>
    <mergeCell ref="C12:D12"/>
    <mergeCell ref="E12:M12"/>
    <mergeCell ref="C13:D13"/>
    <mergeCell ref="E13:M13"/>
    <mergeCell ref="C14:D14"/>
    <mergeCell ref="H8:I8"/>
    <mergeCell ref="J8:M8"/>
    <mergeCell ref="H7:I7"/>
    <mergeCell ref="J7:M7"/>
    <mergeCell ref="B9:C9"/>
    <mergeCell ref="J10:M10"/>
    <mergeCell ref="B8:C8"/>
    <mergeCell ref="D8:G8"/>
    <mergeCell ref="B12:B16"/>
    <mergeCell ref="H32:J32"/>
    <mergeCell ref="K32:M32"/>
    <mergeCell ref="B40:M40"/>
    <mergeCell ref="B41:C41"/>
    <mergeCell ref="D41:G41"/>
    <mergeCell ref="H41:K41"/>
    <mergeCell ref="L41:M41"/>
    <mergeCell ref="J35:K35"/>
    <mergeCell ref="L35:M35"/>
    <mergeCell ref="B34:C35"/>
    <mergeCell ref="H35:I36"/>
    <mergeCell ref="B36:C37"/>
    <mergeCell ref="D36:E37"/>
    <mergeCell ref="C38:M38"/>
    <mergeCell ref="J36:K36"/>
    <mergeCell ref="L36:M36"/>
    <mergeCell ref="J37:M37"/>
    <mergeCell ref="B45:C45"/>
    <mergeCell ref="L45:M45"/>
    <mergeCell ref="B46:C46"/>
    <mergeCell ref="D46:G46"/>
    <mergeCell ref="H46:K46"/>
    <mergeCell ref="L46:M46"/>
    <mergeCell ref="B42:C42"/>
    <mergeCell ref="D42:G42"/>
    <mergeCell ref="H42:K42"/>
    <mergeCell ref="L42:M42"/>
    <mergeCell ref="B43:C43"/>
    <mergeCell ref="D43:G43"/>
    <mergeCell ref="H43:K43"/>
    <mergeCell ref="L43:M43"/>
    <mergeCell ref="D45:E45"/>
    <mergeCell ref="F45:G45"/>
    <mergeCell ref="H45:I45"/>
    <mergeCell ref="J45:K45"/>
    <mergeCell ref="B44:C44"/>
    <mergeCell ref="D44:G44"/>
    <mergeCell ref="H44:K44"/>
    <mergeCell ref="L44:M44"/>
    <mergeCell ref="B49:C49"/>
    <mergeCell ref="D49:G49"/>
    <mergeCell ref="H49:K49"/>
    <mergeCell ref="L49:M49"/>
    <mergeCell ref="B50:C50"/>
    <mergeCell ref="D50:G50"/>
    <mergeCell ref="H50:K50"/>
    <mergeCell ref="L50:M50"/>
    <mergeCell ref="B47:C47"/>
    <mergeCell ref="D47:G47"/>
    <mergeCell ref="H47:K47"/>
    <mergeCell ref="L47:M47"/>
    <mergeCell ref="B48:C48"/>
    <mergeCell ref="D48:G48"/>
    <mergeCell ref="H48:K48"/>
    <mergeCell ref="L48:M48"/>
    <mergeCell ref="B53:C53"/>
    <mergeCell ref="D53:G53"/>
    <mergeCell ref="H53:K53"/>
    <mergeCell ref="L53:M53"/>
    <mergeCell ref="B54:C54"/>
    <mergeCell ref="D54:G54"/>
    <mergeCell ref="H54:K54"/>
    <mergeCell ref="L54:M54"/>
    <mergeCell ref="B51:C51"/>
    <mergeCell ref="D51:G51"/>
    <mergeCell ref="H51:K51"/>
    <mergeCell ref="L51:M51"/>
    <mergeCell ref="B52:C52"/>
    <mergeCell ref="D52:G52"/>
    <mergeCell ref="H52:K52"/>
    <mergeCell ref="L52:M52"/>
    <mergeCell ref="B57:C57"/>
    <mergeCell ref="D57:G57"/>
    <mergeCell ref="H57:K57"/>
    <mergeCell ref="L57:M57"/>
    <mergeCell ref="B58:C58"/>
    <mergeCell ref="D58:G58"/>
    <mergeCell ref="H58:K58"/>
    <mergeCell ref="L58:M58"/>
    <mergeCell ref="B55:C55"/>
    <mergeCell ref="D55:G55"/>
    <mergeCell ref="H55:K55"/>
    <mergeCell ref="L55:M55"/>
    <mergeCell ref="B56:C56"/>
    <mergeCell ref="D56:G56"/>
    <mergeCell ref="H56:K56"/>
    <mergeCell ref="L56:M56"/>
    <mergeCell ref="H61:I61"/>
    <mergeCell ref="J61:M61"/>
    <mergeCell ref="B64:M64"/>
    <mergeCell ref="B59:C59"/>
    <mergeCell ref="D59:G59"/>
    <mergeCell ref="H59:K59"/>
    <mergeCell ref="L59:M59"/>
    <mergeCell ref="H60:I60"/>
    <mergeCell ref="J60:M60"/>
    <mergeCell ref="C60:C61"/>
    <mergeCell ref="C62:M62"/>
    <mergeCell ref="B71:C71"/>
    <mergeCell ref="D71:M71"/>
    <mergeCell ref="B72:C72"/>
    <mergeCell ref="D72:M72"/>
    <mergeCell ref="I65:K66"/>
    <mergeCell ref="L65:M66"/>
    <mergeCell ref="I67:K68"/>
    <mergeCell ref="I69:K70"/>
    <mergeCell ref="L69:M70"/>
    <mergeCell ref="B67:E68"/>
    <mergeCell ref="B69:E70"/>
    <mergeCell ref="B65:B66"/>
    <mergeCell ref="B73:D74"/>
    <mergeCell ref="G73:K74"/>
    <mergeCell ref="B83:M83"/>
    <mergeCell ref="B77:M77"/>
    <mergeCell ref="B84:D85"/>
    <mergeCell ref="B86:D87"/>
    <mergeCell ref="H84:K85"/>
    <mergeCell ref="H86:K87"/>
    <mergeCell ref="B99:M99"/>
    <mergeCell ref="B90:M90"/>
    <mergeCell ref="B91:B92"/>
    <mergeCell ref="C75:M75"/>
    <mergeCell ref="C81:M81"/>
    <mergeCell ref="C88:M88"/>
    <mergeCell ref="B95:D95"/>
    <mergeCell ref="B97:D97"/>
    <mergeCell ref="H95:K95"/>
    <mergeCell ref="H96:K96"/>
    <mergeCell ref="H97:K97"/>
    <mergeCell ref="H98:J98"/>
    <mergeCell ref="D129:M129"/>
    <mergeCell ref="B131:M131"/>
    <mergeCell ref="J137:K137"/>
    <mergeCell ref="L137:M137"/>
    <mergeCell ref="L138:M138"/>
    <mergeCell ref="H137:I138"/>
    <mergeCell ref="B135:E135"/>
    <mergeCell ref="H136:K136"/>
    <mergeCell ref="B147:G147"/>
    <mergeCell ref="B140:M140"/>
    <mergeCell ref="B141:D141"/>
    <mergeCell ref="E141:G141"/>
    <mergeCell ref="H141:I141"/>
    <mergeCell ref="J141:K141"/>
    <mergeCell ref="L141:M141"/>
    <mergeCell ref="B155:G155"/>
    <mergeCell ref="B158:M158"/>
    <mergeCell ref="B161:C161"/>
    <mergeCell ref="L149:M149"/>
    <mergeCell ref="B150:G150"/>
    <mergeCell ref="B151:G151"/>
    <mergeCell ref="B152:G152"/>
    <mergeCell ref="B153:G153"/>
    <mergeCell ref="B154:G154"/>
    <mergeCell ref="C160:G160"/>
    <mergeCell ref="B149:D149"/>
    <mergeCell ref="E149:G149"/>
    <mergeCell ref="H149:I149"/>
    <mergeCell ref="J149:K149"/>
    <mergeCell ref="I160:M160"/>
    <mergeCell ref="H161:I161"/>
    <mergeCell ref="B163:C163"/>
    <mergeCell ref="D163:E163"/>
    <mergeCell ref="F163:G163"/>
    <mergeCell ref="H162:I162"/>
    <mergeCell ref="J162:K162"/>
    <mergeCell ref="C165:G165"/>
    <mergeCell ref="I165:M165"/>
    <mergeCell ref="B168:D169"/>
    <mergeCell ref="B167:M167"/>
    <mergeCell ref="H163:I163"/>
    <mergeCell ref="J163:K163"/>
    <mergeCell ref="L163:M163"/>
    <mergeCell ref="H164:I164"/>
    <mergeCell ref="J164:K164"/>
    <mergeCell ref="L164:M164"/>
    <mergeCell ref="B164:C164"/>
    <mergeCell ref="D164:E164"/>
    <mergeCell ref="F164:G164"/>
    <mergeCell ref="L162:M162"/>
    <mergeCell ref="B162:C162"/>
    <mergeCell ref="D162:E162"/>
    <mergeCell ref="F162:G162"/>
    <mergeCell ref="J187:J189"/>
    <mergeCell ref="E190:E192"/>
    <mergeCell ref="F190:G192"/>
    <mergeCell ref="J190:J192"/>
    <mergeCell ref="B182:M182"/>
    <mergeCell ref="B183:C183"/>
    <mergeCell ref="E184:E186"/>
    <mergeCell ref="F184:G186"/>
    <mergeCell ref="J184:J186"/>
    <mergeCell ref="H184:H185"/>
    <mergeCell ref="H187:H188"/>
    <mergeCell ref="H190:H191"/>
    <mergeCell ref="E187:E189"/>
    <mergeCell ref="F187:G189"/>
    <mergeCell ref="B177:C177"/>
    <mergeCell ref="H177:I177"/>
    <mergeCell ref="B172:D172"/>
    <mergeCell ref="F168:G169"/>
    <mergeCell ref="H168:I169"/>
    <mergeCell ref="E168:E169"/>
    <mergeCell ref="K187:K188"/>
    <mergeCell ref="J199:J201"/>
    <mergeCell ref="B202:M202"/>
    <mergeCell ref="E193:E195"/>
    <mergeCell ref="F193:G195"/>
    <mergeCell ref="J193:J195"/>
    <mergeCell ref="E196:E198"/>
    <mergeCell ref="F196:G198"/>
    <mergeCell ref="J196:J198"/>
    <mergeCell ref="H193:H194"/>
    <mergeCell ref="H196:H197"/>
    <mergeCell ref="H199:H200"/>
    <mergeCell ref="E199:E201"/>
    <mergeCell ref="F199:G201"/>
    <mergeCell ref="K193:K194"/>
    <mergeCell ref="K196:K197"/>
    <mergeCell ref="K199:K200"/>
    <mergeCell ref="J170:K171"/>
    <mergeCell ref="B205:M205"/>
    <mergeCell ref="I206:M206"/>
    <mergeCell ref="C207:M207"/>
    <mergeCell ref="B203:B204"/>
    <mergeCell ref="H210:I210"/>
    <mergeCell ref="B210:C210"/>
    <mergeCell ref="H211:I211"/>
    <mergeCell ref="B213:M213"/>
    <mergeCell ref="B211:C211"/>
    <mergeCell ref="D211:G211"/>
    <mergeCell ref="B206:C206"/>
    <mergeCell ref="B235:M235"/>
    <mergeCell ref="C287:M287"/>
    <mergeCell ref="I254:M254"/>
    <mergeCell ref="E254:G254"/>
    <mergeCell ref="I255:M255"/>
    <mergeCell ref="B285:B286"/>
    <mergeCell ref="B244:M244"/>
    <mergeCell ref="B247:E248"/>
    <mergeCell ref="B245:E246"/>
    <mergeCell ref="H245:K246"/>
    <mergeCell ref="H247:K248"/>
    <mergeCell ref="B253:M253"/>
    <mergeCell ref="B254:D254"/>
    <mergeCell ref="B255:D255"/>
    <mergeCell ref="B249:E250"/>
    <mergeCell ref="B256:D256"/>
    <mergeCell ref="F282:M282"/>
    <mergeCell ref="B257:D257"/>
    <mergeCell ref="B281:M281"/>
    <mergeCell ref="F278:M278"/>
    <mergeCell ref="B276:E277"/>
    <mergeCell ref="H276:K277"/>
    <mergeCell ref="I274:M274"/>
    <mergeCell ref="B271:D271"/>
    <mergeCell ref="B214:B215"/>
    <mergeCell ref="J217:L217"/>
    <mergeCell ref="B219:C219"/>
    <mergeCell ref="D219:D220"/>
    <mergeCell ref="E219:E220"/>
    <mergeCell ref="G219:H219"/>
    <mergeCell ref="I219:I220"/>
    <mergeCell ref="K219:L219"/>
    <mergeCell ref="B233:B234"/>
    <mergeCell ref="B232:M232"/>
    <mergeCell ref="B274:D274"/>
    <mergeCell ref="B275:M275"/>
    <mergeCell ref="B278:E278"/>
    <mergeCell ref="B258:D258"/>
    <mergeCell ref="I256:M256"/>
    <mergeCell ref="I257:M257"/>
    <mergeCell ref="I258:M258"/>
    <mergeCell ref="I259:M259"/>
    <mergeCell ref="I260:M260"/>
    <mergeCell ref="I261:M261"/>
    <mergeCell ref="I265:M265"/>
    <mergeCell ref="B267:D267"/>
    <mergeCell ref="B262:D262"/>
    <mergeCell ref="B266:D266"/>
    <mergeCell ref="I267:M267"/>
    <mergeCell ref="B331:C331"/>
    <mergeCell ref="B209:M209"/>
    <mergeCell ref="K184:K185"/>
    <mergeCell ref="K190:K191"/>
    <mergeCell ref="B284:M284"/>
    <mergeCell ref="C217:E217"/>
    <mergeCell ref="B272:D272"/>
    <mergeCell ref="B273:D273"/>
    <mergeCell ref="B268:D268"/>
    <mergeCell ref="B269:D269"/>
    <mergeCell ref="I264:M264"/>
    <mergeCell ref="J330:M330"/>
    <mergeCell ref="B330:I330"/>
    <mergeCell ref="I271:M271"/>
    <mergeCell ref="H249:K250"/>
    <mergeCell ref="B259:D259"/>
    <mergeCell ref="B260:D260"/>
    <mergeCell ref="B261:D261"/>
    <mergeCell ref="H331:I331"/>
    <mergeCell ref="B282:E282"/>
    <mergeCell ref="B289:M289"/>
    <mergeCell ref="C320:M328"/>
    <mergeCell ref="I272:M272"/>
    <mergeCell ref="I273:M273"/>
    <mergeCell ref="B170:E171"/>
    <mergeCell ref="B320:B328"/>
    <mergeCell ref="B290:M318"/>
    <mergeCell ref="F170:G171"/>
    <mergeCell ref="J168:K169"/>
    <mergeCell ref="B270:D270"/>
    <mergeCell ref="I268:M268"/>
    <mergeCell ref="I269:M269"/>
    <mergeCell ref="I270:M270"/>
    <mergeCell ref="B265:D265"/>
    <mergeCell ref="B263:D263"/>
    <mergeCell ref="B264:D264"/>
    <mergeCell ref="I262:M262"/>
    <mergeCell ref="I263:M263"/>
    <mergeCell ref="L172:M172"/>
    <mergeCell ref="B175:M175"/>
    <mergeCell ref="B176:C176"/>
    <mergeCell ref="D176:M176"/>
    <mergeCell ref="B180:B181"/>
    <mergeCell ref="F172:G172"/>
    <mergeCell ref="I172:J172"/>
    <mergeCell ref="I266:M266"/>
    <mergeCell ref="B179:M179"/>
    <mergeCell ref="B238:M238"/>
  </mergeCells>
  <phoneticPr fontId="61" type="noConversion"/>
  <dataValidations count="2">
    <dataValidation type="custom" showInputMessage="1" showErrorMessage="1" sqref="F283:M283" xr:uid="{00000000-0002-0000-0000-000000000000}">
      <formula1>IF($J$17="",TRUE,FALSE)</formula1>
    </dataValidation>
    <dataValidation type="custom" showInputMessage="1" showErrorMessage="1" sqref="B320" xr:uid="{00000000-0002-0000-0000-000001000000}">
      <formula1>IF(AND(COUNTA($J$7:$J$15)=0,$J$17="",$J$21="",$J$25=""),TRUE,FALSE)</formula1>
    </dataValidation>
  </dataValidations>
  <printOptions horizontalCentered="1"/>
  <pageMargins left="0.23622047244094491" right="0.23622047244094491" top="0.35433070866141736" bottom="0.35433070866141736" header="0.31496062992125984" footer="0.31496062992125984"/>
  <pageSetup paperSize="9" scale="65" fitToHeight="4" orientation="portrait" r:id="rId1"/>
  <headerFooter>
    <oddFooter>&amp;LRevisione 07 del 20/05/2019        Approvato RQ&amp;CPag.  &amp;P di &amp;N&amp;10     &amp;R
&amp;10Matricola contatore :___________________________&amp;11 Sigla OPEE____________________</oddFooter>
  </headerFooter>
  <rowBreaks count="3" manualBreakCount="3">
    <brk id="81" min="1" max="12" man="1"/>
    <brk id="165" min="1" max="12" man="1"/>
    <brk id="251" min="1" max="12" man="1"/>
  </rowBreaks>
  <drawing r:id="rId2"/>
  <legacyDrawing r:id="rId3"/>
  <extLst>
    <ext xmlns:x14="http://schemas.microsoft.com/office/spreadsheetml/2009/9/main" uri="{CCE6A557-97BC-4b89-ADB6-D9C93CAAB3DF}">
      <x14:dataValidations xmlns:xm="http://schemas.microsoft.com/office/excel/2006/main" count="14">
        <x14:dataValidation type="list" showInputMessage="1" showErrorMessage="1" xr:uid="{00000000-0002-0000-0000-000002000000}">
          <x14:formula1>
            <xm:f>IF(AND(COUNTA('FIRME-CONTROLLO DATI'!$J$9:$J$17)=0,'FIRME-CONTROLLO DATI'!$J$19="",'FIRME-CONTROLLO DATI'!$J$23="",'FIRME-CONTROLLO DATI'!$J$26=""),TABELLE!$B$51:$B$60,FALSE)</xm:f>
          </x14:formula1>
          <xm:sqref>L28:M28</xm:sqref>
        </x14:dataValidation>
        <x14:dataValidation type="list" showInputMessage="1" showErrorMessage="1" xr:uid="{00000000-0002-0000-0000-000003000000}">
          <x14:formula1>
            <xm:f>IF(AND(COUNTA('FIRME-CONTROLLO DATI'!$J$9:$J$17)=0,'FIRME-CONTROLLO DATI'!$J$19="",'FIRME-CONTROLLO DATI'!$J$23="",'FIRME-CONTROLLO DATI'!$J$26=""),TABELLE!$B$65:$B$104,FALSE)</xm:f>
          </x14:formula1>
          <xm:sqref>F91:M91 F233:M233 F203:M203 F214:M214 F285:M285 D183 G219:H219 K219:L219 F180:M180</xm:sqref>
        </x14:dataValidation>
        <x14:dataValidation type="list" showInputMessage="1" showErrorMessage="1" xr:uid="{00000000-0002-0000-0000-000004000000}">
          <x14:formula1>
            <xm:f>IF(AND(COUNTA('FIRME-CONTROLLO DATI'!$J$9:$J$17)=0,'FIRME-CONTROLLO DATI'!$J$19="",'FIRME-CONTROLLO DATI'!$J$23="",'FIRME-CONTROLLO DATI'!$J$26=""),TABELLE!$B$145:$B$158,FALSE)</xm:f>
          </x14:formula1>
          <xm:sqref>C78</xm:sqref>
        </x14:dataValidation>
        <x14:dataValidation type="list" allowBlank="1" showInputMessage="1" showErrorMessage="1" xr:uid="{00000000-0002-0000-0000-000005000000}">
          <x14:formula1>
            <xm:f>IF(AND(COUNTA('FIRME-CONTROLLO DATI'!$J$9:$J$17)=0,'FIRME-CONTROLLO DATI'!$J$19="",'FIRME-CONTROLLO DATI'!$J$23="",'FIRME-CONTROLLO DATI'!$J$26=""),TABELLE!$B$177:$B$179,FALSE)</xm:f>
          </x14:formula1>
          <xm:sqref>G183</xm:sqref>
        </x14:dataValidation>
        <x14:dataValidation type="list" showInputMessage="1" showErrorMessage="1" xr:uid="{00000000-0002-0000-0000-000006000000}">
          <x14:formula1>
            <xm:f>IF(AND(COUNTA('FIRME-CONTROLLO DATI'!$J$9:$J$17)=0,'FIRME-CONTROLLO DATI'!$J$19="",'FIRME-CONTROLLO DATI'!$J$23="",'FIRME-CONTROLLO DATI'!$J$26=""),TABELLE!$B$3:$B$15,FALSE)</xm:f>
          </x14:formula1>
          <xm:sqref>J330:M330 D331:G331 D8:G8</xm:sqref>
        </x14:dataValidation>
        <x14:dataValidation type="custom" allowBlank="1" showInputMessage="1" showErrorMessage="1" xr:uid="{00000000-0002-0000-0000-000007000000}">
          <x14:formula1>
            <xm:f>IF(AND(COUNTA('FIRME-CONTROLLO DATI'!$J$9:$J$17)=0,'FIRME-CONTROLLO DATI'!$J$19="",'FIRME-CONTROLLO DATI'!$J$23="",'FIRME-CONTROLLO DATI'!$J$26=""),TRUE,FALSE)</xm:f>
          </x14:formula1>
          <xm:sqref>H241</xm:sqref>
        </x14:dataValidation>
        <x14:dataValidation type="custom" showInputMessage="1" showErrorMessage="1" xr:uid="{00000000-0002-0000-0000-000008000000}">
          <x14:formula1>
            <xm:f>IF(AND(B9="X",COUNTA('FIRME-CONTROLLO DATI'!$J$9:$J$17)=0,'FIRME-CONTROLLO DATI'!$J$19="",'FIRME-CONTROLLO DATI'!$J$23="",'FIRME-CONTROLLO DATI'!$J$26=""),TRUE,FALSE)</xm:f>
          </x14:formula1>
          <xm:sqref>E9 G9 F10 H10 D26:G26 D35:G35 F37:G37 E60:E61 G60:G61 C66:H66 F68:H68 F70:H70 L68:M68 E74:F74 L74:M74 E85:G85 E87:G87 L85:M85 L87:M87 E95:G95 F96:G96 E97:G98 K98:M98 L95:M97 F112:I112 F114:M114 D115 F115 K117:M117 F119:G119 M120 K120 K124:K125 M124:M125 L128:M128 F128:G128 E161 G161 K161 M161 H171:I171 L169:M169 L171:M171 E206 G206 E210 G210 M210:M212 E177 B240:E240 F246:G246 L246:M246 L248:M248 F248:G248 F250:G250 L250:M250 E255:G274 F277:G277 L277:M277 J26:M26 J119:M119 J36:M36 K31:M31 M78:M79 F103:G103 F105:G105 F107:G107 L103:M107 J138:M138 K177:K178 G177 M177:M178 K210:K212</xm:sqref>
        </x14:dataValidation>
        <x14:dataValidation type="list" showInputMessage="1" showErrorMessage="1" xr:uid="{00000000-0002-0000-0000-000009000000}">
          <x14:formula1>
            <xm:f>TABELLE!$B$182:$B$184</xm:f>
          </x14:formula1>
          <xm:sqref>E241</xm:sqref>
        </x14:dataValidation>
        <x14:dataValidation type="custom" showInputMessage="1" showErrorMessage="1" xr:uid="{00000000-0002-0000-0000-00000A000000}">
          <x14:formula1>
            <xm:f>IF(AND(COUNTA('FIRME-CONTROLLO DATI'!$J$9:$J$17)=0,'FIRME-CONTROLLO DATI'!$J$19="",'FIRME-CONTROLLO DATI'!$J$23="",'FIRME-CONTROLLO DATI'!$J$26=""),TRUE,FALSE)</xm:f>
          </x14:formula1>
          <xm:sqref>D7:G7 J9:M10 E12:M14 E15:H15 J15:M15 E16:M18 E19:F20 I19:M19 I20 E21:J21 L20:M21 C22:M22 D27:G33 J27 M27 J28:K28 J29:M29 K32:M33 J34:M34 J37:M37 C38:M38 D42:M59 J60:M61 C62:M62 L65:M66 L69:M70 D71:M72 C75:M75 D78:I78 C79:I80 K80 M80 C81:M81 C88:M88 D91:D92 F92:M92 K111:M112 I115 K115 M115 H116:J117 K187:K188 E122:J123 F124:G124 C126:M126 C108:M108 E141:G141 B143:M147 E149:G149 B151:M155 C156:M156 C160:G160 D162:G164 D129:M129 I160:M160 J162:M164 F168:I169 F172:G172 I172:J172 L172:M172 C173:M173 D176:M176 D180:D181 F181:M181 B185:D186 D211:G211 B200:D201 B197:D198 B194:D195 B191:D192 B188:D189 D203:D204 F204:M204 I206:M206 C207:M207 B290:M318 D214:D215 F215:M215 C217:E217 G217 I217 M217 C221:C231 E221:M231 D233:D234 F234:M234 C236:M236 F241:G241 I241 L241:M241 C242:M242 C251:M251 B255:D274 H255:M274 F278:M278 D285:D286 F286:M286 C287:M287 I165:M165 C137:G138 C165:G165 E184:G201 H199:H200 H184:H185 H187:H188 M121:M122 H196:H197 I184:J201 L184:M201 K199:K200 K196:K197 K193:K194 K190:K191 K184:K185 L121:L123 H190:H191 H193:H194</xm:sqref>
        </x14:dataValidation>
        <x14:dataValidation type="list" showInputMessage="1" showErrorMessage="1" xr:uid="{00000000-0002-0000-0000-00000B000000}">
          <x14:formula1>
            <xm:f>IF(AND(COUNTA('FIRME-CONTROLLO DATI'!$J$9:$J$17)=0,'FIRME-CONTROLLO DATI'!$J$19="",'FIRME-CONTROLLO DATI'!$J$23="",'FIRME-CONTROLLO DATI'!$J$26=""),TABELLE!$B$125:$B$126,FALSE)</xm:f>
          </x14:formula1>
          <xm:sqref>C122</xm:sqref>
        </x14:dataValidation>
        <x14:dataValidation type="custom" showInputMessage="1" showErrorMessage="1" xr:uid="{00000000-0002-0000-0000-00000C000000}">
          <x14:formula1>
            <xm:f>IF(AND('FIRME-CONTROLLO DATI'!$J$23="",'FIRME-CONTROLLO DATI'!$J$26=""),TRUE,FALSE)</xm:f>
          </x14:formula1>
          <xm:sqref>J7:M8 F282:M282 C320:M328</xm:sqref>
        </x14:dataValidation>
        <x14:dataValidation type="custom" showInputMessage="1" showErrorMessage="1" errorTitle="ERRORE" error="Digitare X oppure mancanza di autorizzazione per presenza firme" xr:uid="{00000000-0002-0000-0000-00000D000000}">
          <x14:formula1>
            <xm:f>IF(AND(F133="X",'FIRME-CONTROLLO DATI'!$J$23="",'FIRME-CONTROLLO DATI'!$J$26=""),TRUE,FALSE)</xm:f>
          </x14:formula1>
          <xm:sqref>L133:M136 F133:G135</xm:sqref>
        </x14:dataValidation>
        <x14:dataValidation type="list" allowBlank="1" showInputMessage="1" showErrorMessage="1" xr:uid="{00000000-0002-0000-0000-00000E000000}">
          <x14:formula1>
            <xm:f>IF(AND(COUNTA('FIRME-CONTROLLO DATI'!$J$9:$J$17)=0,'FIRME-CONTROLLO DATI'!$J$19="",'FIRME-CONTROLLO DATI'!$J$23="",'FIRME-CONTROLLO DATI'!$J$26=""),TABELLE!$B$194:$B$196,FALSE)</xm:f>
          </x14:formula1>
          <xm:sqref>M123</xm:sqref>
        </x14:dataValidation>
        <x14:dataValidation type="list" showInputMessage="1" showErrorMessage="1" xr:uid="{00000000-0002-0000-0000-00000F000000}">
          <x14:formula1>
            <xm:f>IF(AND(COUNTA('FIRME-CONTROLLO DATI'!$J$9:$J$17)=0,'FIRME-CONTROLLO DATI'!$J$19="",'FIRME-CONTROLLO DATI'!$J$23="",'FIRME-CONTROLLO DATI'!$J$26=""),TABELLE!$B$194:$B$196,FALSE)</xm:f>
          </x14:formula1>
          <xm:sqref>H186 H189 H192 H195 H198 H201 K186 K189 K192 K195 K198 K201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2">
    <pageSetUpPr fitToPage="1"/>
  </sheetPr>
  <dimension ref="A1:P80"/>
  <sheetViews>
    <sheetView zoomScaleSheetLayoutView="100" workbookViewId="0">
      <selection activeCell="K22" sqref="K22"/>
    </sheetView>
  </sheetViews>
  <sheetFormatPr defaultRowHeight="15" x14ac:dyDescent="0.25"/>
  <cols>
    <col min="1" max="1" width="19.28515625" style="1" customWidth="1"/>
    <col min="2" max="2" width="52.7109375" style="1" customWidth="1"/>
    <col min="3" max="3" width="24.85546875" style="1" customWidth="1"/>
    <col min="4" max="4" width="14" style="1" customWidth="1"/>
    <col min="5" max="5" width="14.28515625" style="1" bestFit="1" customWidth="1"/>
    <col min="6" max="6" width="9.140625" style="1"/>
    <col min="7" max="7" width="13.140625" style="1" customWidth="1"/>
    <col min="8" max="8" width="13.7109375" style="1" customWidth="1"/>
    <col min="9" max="9" width="12.28515625" style="1" customWidth="1"/>
    <col min="10" max="10" width="11.42578125" style="1" customWidth="1"/>
    <col min="11" max="11" width="11.140625" style="1" customWidth="1"/>
    <col min="12" max="12" width="11.42578125" style="1" customWidth="1"/>
    <col min="13" max="13" width="12" style="1" customWidth="1"/>
    <col min="14" max="14" width="13.28515625" style="1" bestFit="1" customWidth="1"/>
    <col min="15" max="15" width="15" style="1" bestFit="1" customWidth="1"/>
    <col min="16" max="16" width="20" style="1" bestFit="1" customWidth="1"/>
    <col min="17" max="16384" width="9.140625" style="1"/>
  </cols>
  <sheetData>
    <row r="1" spans="1:16" x14ac:dyDescent="0.25">
      <c r="B1" s="9" t="s">
        <v>60</v>
      </c>
      <c r="C1" s="9" t="s">
        <v>236</v>
      </c>
      <c r="D1" s="9"/>
      <c r="E1" s="2">
        <f>'VALUT. GLOBALE'!M4</f>
        <v>57.7</v>
      </c>
      <c r="G1" s="1371" t="s">
        <v>738</v>
      </c>
      <c r="H1" s="1371"/>
      <c r="I1" s="9" t="str">
        <f>'ELABORAZIONE ERRORI'!B8</f>
        <v>REALE</v>
      </c>
    </row>
    <row r="2" spans="1:16" x14ac:dyDescent="0.25">
      <c r="B2" s="9"/>
      <c r="C2" s="17" t="s">
        <v>227</v>
      </c>
      <c r="D2" s="9"/>
      <c r="E2" s="8">
        <f>'VALUT. GLOBALE'!I2</f>
        <v>57.73</v>
      </c>
      <c r="G2" s="9" t="s">
        <v>166</v>
      </c>
      <c r="H2" s="2" t="s">
        <v>167</v>
      </c>
      <c r="I2" s="2">
        <f>IF('ELABORAZIONE ERRORI'!$E$4="R1",'DATI INGRESSO'!C281,IF('ELABORAZIONE ERRORI'!$E$4="R2",'DATI INGRESSO'!C296,IF('ELABORAZIONE ERRORI'!$E$4="R3",'DATI INGRESSO'!C311,IF('ELABORAZIONE ERRORI'!$E$4="R4",'DATI INGRESSO'!C326,IF('ELABORAZIONE ERRORI'!$E$4="R5",'DATI INGRESSO'!C341,IF('ELABORAZIONE ERRORI'!$E$4="R6",'DATI INGRESSO'!C356,0))))))+IF('ELABORAZIONE ERRORI'!$E$4="F1",'DATI INGRESSO'!C378,IF('ELABORAZIONE ERRORI'!$E$4="F2",'DATI INGRESSO'!C393,IF('ELABORAZIONE ERRORI'!$E$4="F3",'DATI INGRESSO'!C408,IF('ELABORAZIONE ERRORI'!$E$4="F4",'DATI INGRESSO'!C423,IF('ELABORAZIONE ERRORI'!$E$4="F5",'DATI INGRESSO'!C438,0)))))+IF('ELABORAZIONE ERRORI'!$E$4="F6",'DATI INGRESSO'!C453,IF('ELABORAZIONE ERRORI'!$E$4="F7",'DATI INGRESSO'!C468,IF('ELABORAZIONE ERRORI'!$E$4="F8",'DATI INGRESSO'!C483,IF('ELABORAZIONE ERRORI'!$E$4="F9",'DATI INGRESSO'!C498,IF('ELABORAZIONE ERRORI'!$E$4="F10",'DATI INGRESSO'!C513,IF('ELABORAZIONE ERRORI'!$E$4="F11",'DATI INGRESSO'!C528,0))))))+IF('ELABORAZIONE ERRORI'!$E$4="F12",'DATI INGRESSO'!C546,IF('ELABORAZIONE ERRORI'!$E$4="F13",'DATI INGRESSO'!C561,IF('ELABORAZIONE ERRORI'!$E$4="F14",'DATI INGRESSO'!C576,IF('ELABORAZIONE ERRORI'!$E$4="F15",'DATI INGRESSO'!C591,IF('ELABORAZIONE ERRORI'!$E$4="F16",'DATI INGRESSO'!C606,0)))))+IF('ELABORAZIONE ERRORI'!$E$4="F17",'DATI INGRESSO'!C621,IF('ELABORAZIONE ERRORI'!$E$4="F18",'DATI INGRESSO'!C636,IF('ELABORAZIONE ERRORI'!$E$4="F19",'DATI INGRESSO'!C651,IF('ELABORAZIONE ERRORI'!$E$4="F20",'DATI INGRESSO'!C666,IF('ELABORAZIONE ERRORI'!$E$4="F21",'DATI INGRESSO'!C681,IF('ELABORAZIONE ERRORI'!$E$4="F22",'DATI INGRESSO'!C696,0))))))</f>
        <v>57.73</v>
      </c>
      <c r="J2" s="2" t="s">
        <v>168</v>
      </c>
      <c r="K2" s="2">
        <f>IF('ELABORAZIONE ERRORI'!$E$4="R1",'DATI INGRESSO'!E281,IF('ELABORAZIONE ERRORI'!$E$4="R2",'DATI INGRESSO'!E296,IF('ELABORAZIONE ERRORI'!$E$4="R3",'DATI INGRESSO'!E311,IF('ELABORAZIONE ERRORI'!$E$4="R4",'DATI INGRESSO'!E326,IF('ELABORAZIONE ERRORI'!$E$4="R5",'DATI INGRESSO'!E341,IF('ELABORAZIONE ERRORI'!$E$4="R6",'DATI INGRESSO'!E356,0))))))+IF('ELABORAZIONE ERRORI'!$E$4="F1",'DATI INGRESSO'!E378,IF('ELABORAZIONE ERRORI'!$E$4="F2",'DATI INGRESSO'!E393,IF('ELABORAZIONE ERRORI'!$E$4="F3",'DATI INGRESSO'!E408,IF('ELABORAZIONE ERRORI'!$E$4="F4",'DATI INGRESSO'!E423,IF('ELABORAZIONE ERRORI'!$E$4="F5",'DATI INGRESSO'!E438,0)))))+IF('ELABORAZIONE ERRORI'!$E$4="F6",'DATI INGRESSO'!E453,IF('ELABORAZIONE ERRORI'!$E$4="F7",'DATI INGRESSO'!E468,IF('ELABORAZIONE ERRORI'!$E$4="F8",'DATI INGRESSO'!E483,IF('ELABORAZIONE ERRORI'!$E$4="F9",'DATI INGRESSO'!E498,IF('ELABORAZIONE ERRORI'!$E$4="F10",'DATI INGRESSO'!E513,IF('ELABORAZIONE ERRORI'!$E$4="F11",'DATI INGRESSO'!E528,0))))))+IF('ELABORAZIONE ERRORI'!$E$4="F12",'DATI INGRESSO'!E546,IF('ELABORAZIONE ERRORI'!$E$4="F13",'DATI INGRESSO'!E561,IF('ELABORAZIONE ERRORI'!$E$4="F14",'DATI INGRESSO'!E576,IF('ELABORAZIONE ERRORI'!$E$4="F15",'DATI INGRESSO'!E591,IF('ELABORAZIONE ERRORI'!$E$4="F16",'DATI INGRESSO'!E606,0)))))+IF('ELABORAZIONE ERRORI'!$E$4="F17",'DATI INGRESSO'!E621,IF('ELABORAZIONE ERRORI'!$E$4="F18",'DATI INGRESSO'!E636,IF('ELABORAZIONE ERRORI'!$E$4="F19",'DATI INGRESSO'!E651,IF('ELABORAZIONE ERRORI'!$E$4="F20",'DATI INGRESSO'!E666,IF('ELABORAZIONE ERRORI'!$E$4="F21",'DATI INGRESSO'!E681,IF('ELABORAZIONE ERRORI'!$E$4="F22",'DATI INGRESSO'!E696,0))))))</f>
        <v>57.78</v>
      </c>
      <c r="L2" s="2" t="s">
        <v>169</v>
      </c>
      <c r="M2" s="2">
        <f>IF('ELABORAZIONE ERRORI'!$E$4="R1",'DATI INGRESSO'!G281,IF('ELABORAZIONE ERRORI'!$E$4="R2",'DATI INGRESSO'!G296,IF('ELABORAZIONE ERRORI'!$E$4="R3",'DATI INGRESSO'!G311,IF('ELABORAZIONE ERRORI'!$E$4="R4",'DATI INGRESSO'!G326,IF('ELABORAZIONE ERRORI'!$E$4="R5",'DATI INGRESSO'!G341,IF('ELABORAZIONE ERRORI'!$E$4="R6",'DATI INGRESSO'!G356,0))))))+IF('ELABORAZIONE ERRORI'!$E$4="F1",'DATI INGRESSO'!G378,IF('ELABORAZIONE ERRORI'!$E$4="F2",'DATI INGRESSO'!G393,IF('ELABORAZIONE ERRORI'!$E$4="F3",'DATI INGRESSO'!G408,IF('ELABORAZIONE ERRORI'!$E$4="F4",'DATI INGRESSO'!G423,IF('ELABORAZIONE ERRORI'!$E$4="F5",'DATI INGRESSO'!G438,0)))))+IF('ELABORAZIONE ERRORI'!$E$4="F6",'DATI INGRESSO'!G453,IF('ELABORAZIONE ERRORI'!$E$4="F7",'DATI INGRESSO'!G468,IF('ELABORAZIONE ERRORI'!$E$4="F8",'DATI INGRESSO'!G483,IF('ELABORAZIONE ERRORI'!$E$4="F9",'DATI INGRESSO'!G498,IF('ELABORAZIONE ERRORI'!$E$4="F10",'DATI INGRESSO'!G513,IF('ELABORAZIONE ERRORI'!$E$4="F11",'DATI INGRESSO'!G528,0))))))+IF('ELABORAZIONE ERRORI'!$E$4="F12",'DATI INGRESSO'!G546,IF('ELABORAZIONE ERRORI'!$E$4="F13",'DATI INGRESSO'!G561,IF('ELABORAZIONE ERRORI'!$E$4="F14",'DATI INGRESSO'!G576,IF('ELABORAZIONE ERRORI'!$E$4="F15",'DATI INGRESSO'!G591,IF('ELABORAZIONE ERRORI'!$E$4="F16",'DATI INGRESSO'!G606,0)))))+IF('ELABORAZIONE ERRORI'!$E$4="F17",'DATI INGRESSO'!G621,IF('ELABORAZIONE ERRORI'!$E$4="F18",'DATI INGRESSO'!G636,IF('ELABORAZIONE ERRORI'!$E$4="F19",'DATI INGRESSO'!G651,IF('ELABORAZIONE ERRORI'!$E$4="F20",'DATI INGRESSO'!G666,IF('ELABORAZIONE ERRORI'!$E$4="F21",'DATI INGRESSO'!G681,IF('ELABORAZIONE ERRORI'!$E$4="F22",'DATI INGRESSO'!G696,0))))))</f>
        <v>57.71</v>
      </c>
      <c r="N2" s="2" t="s">
        <v>174</v>
      </c>
      <c r="O2" s="2">
        <f>IF('ELABORAZIONE ERRORI'!$E$4="R1",'DATI INGRESSO'!I281,IF('ELABORAZIONE ERRORI'!$E$4="R2",'DATI INGRESSO'!I296,IF('ELABORAZIONE ERRORI'!$E$4="R3",'DATI INGRESSO'!I311,IF('ELABORAZIONE ERRORI'!$E$4="R4",'DATI INGRESSO'!I326,IF('ELABORAZIONE ERRORI'!$E$4="R5",'DATI INGRESSO'!I341,IF('ELABORAZIONE ERRORI'!$E$4="R6",'DATI INGRESSO'!I356,0))))))+IF('ELABORAZIONE ERRORI'!$E$4="F1",'DATI INGRESSO'!I378,IF('ELABORAZIONE ERRORI'!$E$4="F2",'DATI INGRESSO'!I393,IF('ELABORAZIONE ERRORI'!$E$4="F3",'DATI INGRESSO'!I408,IF('ELABORAZIONE ERRORI'!$E$4="F4",'DATI INGRESSO'!I423,IF('ELABORAZIONE ERRORI'!$E$4="F5",'DATI INGRESSO'!I438,0)))))+IF('ELABORAZIONE ERRORI'!$E$4="F6",'DATI INGRESSO'!I453,IF('ELABORAZIONE ERRORI'!$E$4="F7",'DATI INGRESSO'!I468,IF('ELABORAZIONE ERRORI'!$E$4="F8",'DATI INGRESSO'!I483,IF('ELABORAZIONE ERRORI'!$E$4="F9",'DATI INGRESSO'!I498,IF('ELABORAZIONE ERRORI'!$E$4="F10",'DATI INGRESSO'!I513,IF('ELABORAZIONE ERRORI'!$E$4="F11",'DATI INGRESSO'!I528,0))))))+IF('ELABORAZIONE ERRORI'!$E$4="F12",'DATI INGRESSO'!I546,IF('ELABORAZIONE ERRORI'!$E$4="F13",'DATI INGRESSO'!I561,IF('ELABORAZIONE ERRORI'!$E$4="F14",'DATI INGRESSO'!I576,IF('ELABORAZIONE ERRORI'!$E$4="F15",'DATI INGRESSO'!I591,IF('ELABORAZIONE ERRORI'!$E$4="F16",'DATI INGRESSO'!I606,0)))))+IF('ELABORAZIONE ERRORI'!$E$4="F17",'DATI INGRESSO'!I621,IF('ELABORAZIONE ERRORI'!$E$4="F18",'DATI INGRESSO'!I636,IF('ELABORAZIONE ERRORI'!$E$4="F19",'DATI INGRESSO'!I651,IF('ELABORAZIONE ERRORI'!$E$4="F20",'DATI INGRESSO'!I666,IF('ELABORAZIONE ERRORI'!$E$4="F21",'DATI INGRESSO'!I681,IF('ELABORAZIONE ERRORI'!$E$4="F22",'DATI INGRESSO'!I696,0))))))</f>
        <v>0.94</v>
      </c>
    </row>
    <row r="3" spans="1:16" x14ac:dyDescent="0.25">
      <c r="B3" s="9"/>
      <c r="C3" s="17" t="s">
        <v>228</v>
      </c>
      <c r="D3" s="9"/>
      <c r="E3" s="8">
        <f>'VALUT. GLOBALE'!K2</f>
        <v>57.78</v>
      </c>
      <c r="G3" s="9" t="s">
        <v>170</v>
      </c>
      <c r="H3" s="2" t="s">
        <v>171</v>
      </c>
      <c r="I3" s="2">
        <f>IF('ELABORAZIONE ERRORI'!$E$4="R1",'DATI INGRESSO'!C284,IF('ELABORAZIONE ERRORI'!$E$4="R2",'DATI INGRESSO'!C299,IF('ELABORAZIONE ERRORI'!$E$4="R3",'DATI INGRESSO'!C314,IF('ELABORAZIONE ERRORI'!$E$4="R4",'DATI INGRESSO'!C329,IF('ELABORAZIONE ERRORI'!$E$4="R5",'DATI INGRESSO'!C344,IF('ELABORAZIONE ERRORI'!$E$4="R6",'DATI INGRESSO'!C359,0))))))+IF('ELABORAZIONE ERRORI'!$E$4="F1",'DATI INGRESSO'!C381,IF('ELABORAZIONE ERRORI'!$E$4="F2",'DATI INGRESSO'!C396,IF('ELABORAZIONE ERRORI'!$E$4="F3",'DATI INGRESSO'!C411,IF('ELABORAZIONE ERRORI'!$E$4="F4",'DATI INGRESSO'!C426,IF('ELABORAZIONE ERRORI'!$E$4="F5",'DATI INGRESSO'!C441,0)))))+IF('ELABORAZIONE ERRORI'!$E$4="F6",'DATI INGRESSO'!C456,IF('ELABORAZIONE ERRORI'!$E$4="F7",'DATI INGRESSO'!C471,IF('ELABORAZIONE ERRORI'!$E$4="F8",'DATI INGRESSO'!C486,IF('ELABORAZIONE ERRORI'!$E$4="F9",'DATI INGRESSO'!C501,IF('ELABORAZIONE ERRORI'!$E$4="F10",'DATI INGRESSO'!C516,IF('ELABORAZIONE ERRORI'!$E$4="F11",'DATI INGRESSO'!C531,0))))))+IF('ELABORAZIONE ERRORI'!$E$4="F12",'DATI INGRESSO'!C549,IF('ELABORAZIONE ERRORI'!$E$4="F13",'DATI INGRESSO'!C564,IF('ELABORAZIONE ERRORI'!$E$4="F14",'DATI INGRESSO'!C579,IF('ELABORAZIONE ERRORI'!$E$4="F15",'DATI INGRESSO'!C594,IF('ELABORAZIONE ERRORI'!$E$4="F16",'DATI INGRESSO'!C609,0)))))+IF('ELABORAZIONE ERRORI'!$E$4="F17",'DATI INGRESSO'!C624,IF('ELABORAZIONE ERRORI'!$E$4="F18",'DATI INGRESSO'!C639,IF('ELABORAZIONE ERRORI'!$E$4="F19",'DATI INGRESSO'!C654,IF('ELABORAZIONE ERRORI'!$E$4="F20",'DATI INGRESSO'!C669,IF('ELABORAZIONE ERRORI'!$E$4="F21",'DATI INGRESSO'!C684,IF('ELABORAZIONE ERRORI'!$E$4="F22",'DATI INGRESSO'!C699,0))))))</f>
        <v>2.5099999999999998</v>
      </c>
      <c r="J3" s="2" t="s">
        <v>172</v>
      </c>
      <c r="K3" s="2">
        <f>IF('ELABORAZIONE ERRORI'!$E$4="R1",'DATI INGRESSO'!E284,IF('ELABORAZIONE ERRORI'!$E$4="R2",'DATI INGRESSO'!E299,IF('ELABORAZIONE ERRORI'!$E$4="R3",'DATI INGRESSO'!E314,IF('ELABORAZIONE ERRORI'!$E$4="R4",'DATI INGRESSO'!E329,IF('ELABORAZIONE ERRORI'!$E$4="R5",'DATI INGRESSO'!E344,IF('ELABORAZIONE ERRORI'!$E$4="R6",'DATI INGRESSO'!E359,0))))))+IF('ELABORAZIONE ERRORI'!$E$4="F1",'DATI INGRESSO'!E381,IF('ELABORAZIONE ERRORI'!$E$4="F2",'DATI INGRESSO'!E396,IF('ELABORAZIONE ERRORI'!$E$4="F3",'DATI INGRESSO'!E411,IF('ELABORAZIONE ERRORI'!$E$4="F4",'DATI INGRESSO'!E426,IF('ELABORAZIONE ERRORI'!$E$4="F5",'DATI INGRESSO'!E441,0)))))+IF('ELABORAZIONE ERRORI'!$E$4="F6",'DATI INGRESSO'!E456,IF('ELABORAZIONE ERRORI'!$E$4="F7",'DATI INGRESSO'!E471,IF('ELABORAZIONE ERRORI'!$E$4="F8",'DATI INGRESSO'!E486,IF('ELABORAZIONE ERRORI'!$E$4="F9",'DATI INGRESSO'!E501,IF('ELABORAZIONE ERRORI'!$E$4="F10",'DATI INGRESSO'!E516,IF('ELABORAZIONE ERRORI'!$E$4="F11",'DATI INGRESSO'!E531,0))))))+IF('ELABORAZIONE ERRORI'!$E$4="F12",'DATI INGRESSO'!E549,IF('ELABORAZIONE ERRORI'!$E$4="F13",'DATI INGRESSO'!E564,IF('ELABORAZIONE ERRORI'!$E$4="F14",'DATI INGRESSO'!E579,IF('ELABORAZIONE ERRORI'!$E$4="F15",'DATI INGRESSO'!E594,IF('ELABORAZIONE ERRORI'!$E$4="F16",'DATI INGRESSO'!E609,0)))))+IF('ELABORAZIONE ERRORI'!$E$4="F17",'DATI INGRESSO'!E624,IF('ELABORAZIONE ERRORI'!$E$4="F18",'DATI INGRESSO'!E639,IF('ELABORAZIONE ERRORI'!$E$4="F19",'DATI INGRESSO'!E654,IF('ELABORAZIONE ERRORI'!$E$4="F20",'DATI INGRESSO'!E669,IF('ELABORAZIONE ERRORI'!$E$4="F21",'DATI INGRESSO'!E684,IF('ELABORAZIONE ERRORI'!$E$4="F22",'DATI INGRESSO'!E699,0))))))</f>
        <v>2.52</v>
      </c>
      <c r="L3" s="2" t="s">
        <v>173</v>
      </c>
      <c r="M3" s="2">
        <f>IF('ELABORAZIONE ERRORI'!$E$4="R1",'DATI INGRESSO'!G284,IF('ELABORAZIONE ERRORI'!$E$4="R2",'DATI INGRESSO'!G299,IF('ELABORAZIONE ERRORI'!$E$4="R3",'DATI INGRESSO'!G314,IF('ELABORAZIONE ERRORI'!$E$4="R4",'DATI INGRESSO'!G329,IF('ELABORAZIONE ERRORI'!$E$4="R5",'DATI INGRESSO'!G344,IF('ELABORAZIONE ERRORI'!$E$4="R6",'DATI INGRESSO'!G359,0))))))+IF('ELABORAZIONE ERRORI'!$E$4="F1",'DATI INGRESSO'!G381,IF('ELABORAZIONE ERRORI'!$E$4="F2",'DATI INGRESSO'!G396,IF('ELABORAZIONE ERRORI'!$E$4="F3",'DATI INGRESSO'!G411,IF('ELABORAZIONE ERRORI'!$E$4="F4",'DATI INGRESSO'!G426,IF('ELABORAZIONE ERRORI'!$E$4="F5",'DATI INGRESSO'!G441,0)))))+IF('ELABORAZIONE ERRORI'!$E$4="F6",'DATI INGRESSO'!G456,IF('ELABORAZIONE ERRORI'!$E$4="F7",'DATI INGRESSO'!G471,IF('ELABORAZIONE ERRORI'!$E$4="F8",'DATI INGRESSO'!G486,IF('ELABORAZIONE ERRORI'!$E$4="F9",'DATI INGRESSO'!G501,IF('ELABORAZIONE ERRORI'!$E$4="F10",'DATI INGRESSO'!G516,IF('ELABORAZIONE ERRORI'!$E$4="F11",'DATI INGRESSO'!G531,0))))))+IF('ELABORAZIONE ERRORI'!$E$4="F12",'DATI INGRESSO'!G549,IF('ELABORAZIONE ERRORI'!$E$4="F13",'DATI INGRESSO'!G564,IF('ELABORAZIONE ERRORI'!$E$4="F14",'DATI INGRESSO'!G579,IF('ELABORAZIONE ERRORI'!$E$4="F15",'DATI INGRESSO'!G594,IF('ELABORAZIONE ERRORI'!$E$4="F16",'DATI INGRESSO'!G609,0)))))+IF('ELABORAZIONE ERRORI'!$E$4="F17",'DATI INGRESSO'!G624,IF('ELABORAZIONE ERRORI'!$E$4="F18",'DATI INGRESSO'!G639,IF('ELABORAZIONE ERRORI'!$E$4="F19",'DATI INGRESSO'!G654,IF('ELABORAZIONE ERRORI'!$E$4="F20",'DATI INGRESSO'!G669,IF('ELABORAZIONE ERRORI'!$E$4="F21",'DATI INGRESSO'!G684,IF('ELABORAZIONE ERRORI'!$E$4="F22",'DATI INGRESSO'!G699,0))))))</f>
        <v>2.5299999999999998</v>
      </c>
      <c r="N3" s="2" t="s">
        <v>175</v>
      </c>
      <c r="O3" s="12" t="str">
        <f>CONCATENATE(IF('ELABORAZIONE ERRORI'!$E$4="R1",'DATI INGRESSO'!I284,IF('ELABORAZIONE ERRORI'!$E$4="R2",'DATI INGRESSO'!I299,IF('ELABORAZIONE ERRORI'!$E$4="R3",'DATI INGRESSO'!I314,IF('ELABORAZIONE ERRORI'!$E$4="R4",'DATI INGRESSO'!I329,IF('ELABORAZIONE ERRORI'!$E$4="R5",'DATI INGRESSO'!I344,IF('ELABORAZIONE ERRORI'!$E$4="R6",'DATI INGRESSO'!I359,"")))))),IF('ELABORAZIONE ERRORI'!$E$4="F1",'DATI INGRESSO'!I381,IF('ELABORAZIONE ERRORI'!$E$4="F2",'DATI INGRESSO'!I396,IF('ELABORAZIONE ERRORI'!$E$4="F3",'DATI INGRESSO'!I411,IF('ELABORAZIONE ERRORI'!$E$4="F4",'DATI INGRESSO'!I426,IF('ELABORAZIONE ERRORI'!$E$4="F5",'DATI INGRESSO'!I441,""))))),IF('ELABORAZIONE ERRORI'!$E$4="F6",'DATI INGRESSO'!I456,IF('ELABORAZIONE ERRORI'!$E$4="F7",'DATI INGRESSO'!I471,IF('ELABORAZIONE ERRORI'!$E$4="F8",'DATI INGRESSO'!I486,IF('ELABORAZIONE ERRORI'!$E$4="F9",'DATI INGRESSO'!I501,IF('ELABORAZIONE ERRORI'!$E$4="F10",'DATI INGRESSO'!I516,IF('ELABORAZIONE ERRORI'!$E$4="F11",'DATI INGRESSO'!I531,"")))))),IF('ELABORAZIONE ERRORI'!$E$4="F12",'DATI INGRESSO'!I549,IF('ELABORAZIONE ERRORI'!$E$4="F13",'DATI INGRESSO'!I564,IF('ELABORAZIONE ERRORI'!$E$4="F14",'DATI INGRESSO'!I579,IF('ELABORAZIONE ERRORI'!$E$4="F15",'DATI INGRESSO'!I594,IF('ELABORAZIONE ERRORI'!$E$4="F16",'DATI INGRESSO'!I609,""))))),IF('ELABORAZIONE ERRORI'!$E$4="F17",'DATI INGRESSO'!I624,IF('ELABORAZIONE ERRORI'!$E$4="F18",'DATI INGRESSO'!I639,IF('ELABORAZIONE ERRORI'!$E$4="F19",'DATI INGRESSO'!I654,IF('ELABORAZIONE ERRORI'!$E$4="F20",'DATI INGRESSO'!I669,IF('ELABORAZIONE ERRORI'!$E$4="F21",'DATI INGRESSO'!I684,IF('ELABORAZIONE ERRORI'!$E$4="F22",'DATI INGRESSO'!I699,"")))))))</f>
        <v/>
      </c>
      <c r="P3" s="13" t="s">
        <v>550</v>
      </c>
    </row>
    <row r="4" spans="1:16" x14ac:dyDescent="0.25">
      <c r="B4" s="9"/>
      <c r="C4" s="17" t="s">
        <v>229</v>
      </c>
      <c r="D4" s="9"/>
      <c r="E4" s="2">
        <f>'VALUT. GLOBALE'!M2</f>
        <v>57.71</v>
      </c>
      <c r="H4" s="9" t="s">
        <v>189</v>
      </c>
      <c r="I4" s="2">
        <f>IF('ELABORAZIONE ERRORI'!$E$4="R1",'DATI INGRESSO'!C287,IF('ELABORAZIONE ERRORI'!$E$4="R2",'DATI INGRESSO'!C302,IF('ELABORAZIONE ERRORI'!$E$4="R3",'DATI INGRESSO'!C317,IF('ELABORAZIONE ERRORI'!$E$4="R4",'DATI INGRESSO'!C332,IF('ELABORAZIONE ERRORI'!$E$4="R5",'DATI INGRESSO'!C347,IF('ELABORAZIONE ERRORI'!$E$4="R6",'DATI INGRESSO'!C362,0))))))+IF('ELABORAZIONE ERRORI'!$E$4="F1",'DATI INGRESSO'!C384,IF('ELABORAZIONE ERRORI'!$E$4="F2",'DATI INGRESSO'!C399,IF('ELABORAZIONE ERRORI'!$E$4="F3",'DATI INGRESSO'!C414,IF('ELABORAZIONE ERRORI'!$E$4="F4",'DATI INGRESSO'!C429,IF('ELABORAZIONE ERRORI'!$E$4="F5",'DATI INGRESSO'!C444,0)))))+IF('ELABORAZIONE ERRORI'!$E$4="F6",'DATI INGRESSO'!C459,IF('ELABORAZIONE ERRORI'!$E$4="F7",'DATI INGRESSO'!C474,IF('ELABORAZIONE ERRORI'!$E$4="F8",'DATI INGRESSO'!C489,IF('ELABORAZIONE ERRORI'!$E$4="F9",'DATI INGRESSO'!C504,IF('ELABORAZIONE ERRORI'!$E$4="F10",'DATI INGRESSO'!C519,IF('ELABORAZIONE ERRORI'!$E$4="F11",'DATI INGRESSO'!C534,0))))))+IF('ELABORAZIONE ERRORI'!$E$4="F12",'DATI INGRESSO'!C552,IF('ELABORAZIONE ERRORI'!$E$4="F13",'DATI INGRESSO'!C567,IF('ELABORAZIONE ERRORI'!$E$4="F14",'DATI INGRESSO'!C582,IF('ELABORAZIONE ERRORI'!$E$4="F15",'DATI INGRESSO'!C597,IF('ELABORAZIONE ERRORI'!$E$4="F16",'DATI INGRESSO'!C612,0)))))+IF('ELABORAZIONE ERRORI'!$E$4="F17",'DATI INGRESSO'!C627,IF('ELABORAZIONE ERRORI'!$E$4="F18",'DATI INGRESSO'!C642,IF('ELABORAZIONE ERRORI'!$E$4="F19",'DATI INGRESSO'!C657,IF('ELABORAZIONE ERRORI'!$E$4="F20",'DATI INGRESSO'!C672,IF('ELABORAZIONE ERRORI'!$E$4="F21",'DATI INGRESSO'!C687,IF('ELABORAZIONE ERRORI'!$E$4="F22",'DATI INGRESSO'!C702,0))))))</f>
        <v>2.52</v>
      </c>
      <c r="J4" s="9" t="s">
        <v>297</v>
      </c>
      <c r="K4" s="12" t="str">
        <f>CONCATENATE(IF('ELABORAZIONE ERRORI'!$E$4="R1",'DATI INGRESSO'!E289,IF('ELABORAZIONE ERRORI'!$E$4="R2",'DATI INGRESSO'!E304,IF('ELABORAZIONE ERRORI'!$E$4="R3",'DATI INGRESSO'!E319,IF('ELABORAZIONE ERRORI'!$E$4="R4",'DATI INGRESSO'!E334,IF('ELABORAZIONE ERRORI'!$E$4="R5",'DATI INGRESSO'!E349,IF('ELABORAZIONE ERRORI'!$E$4="R6",'DATI INGRESSO'!E364,"")))))),IF('ELABORAZIONE ERRORI'!$E$4="F1",'DATI INGRESSO'!E386,IF('ELABORAZIONE ERRORI'!$E$4="F2",'DATI INGRESSO'!E401,IF('ELABORAZIONE ERRORI'!$E$4="F3",'DATI INGRESSO'!E416,IF('ELABORAZIONE ERRORI'!$E$4="F4",'DATI INGRESSO'!E431,IF('ELABORAZIONE ERRORI'!$E$4="F5",'DATI INGRESSO'!E446,""))))),IF('ELABORAZIONE ERRORI'!$E$4="F6",'DATI INGRESSO'!E461,IF('ELABORAZIONE ERRORI'!$E$4="F7",'DATI INGRESSO'!E476,IF('ELABORAZIONE ERRORI'!$E$4="F8",'DATI INGRESSO'!E491,IF('ELABORAZIONE ERRORI'!$E$4="F9",'DATI INGRESSO'!E506,IF('ELABORAZIONE ERRORI'!$E$4="F10",'DATI INGRESSO'!E521,IF('ELABORAZIONE ERRORI'!$E$4="F11",'DATI INGRESSO'!E536,"")))))),IF('ELABORAZIONE ERRORI'!$E$4="F12",'DATI INGRESSO'!E554,IF('ELABORAZIONE ERRORI'!$E$4="F13",'DATI INGRESSO'!E569,IF('ELABORAZIONE ERRORI'!$E$4="F14",'DATI INGRESSO'!E584,IF('ELABORAZIONE ERRORI'!$E$4="F15",'DATI INGRESSO'!E599,IF('ELABORAZIONE ERRORI'!$E$4="F16",'DATI INGRESSO'!E614,""))))),IF('ELABORAZIONE ERRORI'!$E$4="F17",'DATI INGRESSO'!E629,IF('ELABORAZIONE ERRORI'!$E$4="F18",'DATI INGRESSO'!E644,IF('ELABORAZIONE ERRORI'!$E$4="F19",'DATI INGRESSO'!E659,IF('ELABORAZIONE ERRORI'!$E$4="F20",'DATI INGRESSO'!E674,IF('ELABORAZIONE ERRORI'!$E$4="F21",'DATI INGRESSO'!E689,IF('ELABORAZIONE ERRORI'!$E$4="F22",'DATI INGRESSO'!E704,"")))))))</f>
        <v>F-N</v>
      </c>
      <c r="L4" s="9" t="s">
        <v>188</v>
      </c>
      <c r="M4" s="2">
        <f>IF('ELABORAZIONE ERRORI'!$E$4="R1",'DATI INGRESSO'!C286,IF('ELABORAZIONE ERRORI'!$E$4="R2",'DATI INGRESSO'!C301,IF('ELABORAZIONE ERRORI'!$E$4="R3",'DATI INGRESSO'!C316,IF('ELABORAZIONE ERRORI'!$E$4="R4",'DATI INGRESSO'!C331,IF('ELABORAZIONE ERRORI'!$E$4="R5",'DATI INGRESSO'!C346,IF('ELABORAZIONE ERRORI'!$E$4="R6",'DATI INGRESSO'!C361,0))))))+IF('ELABORAZIONE ERRORI'!$E$4="F1",'DATI INGRESSO'!C383,IF('ELABORAZIONE ERRORI'!$E$4="F2",'DATI INGRESSO'!C398,IF('ELABORAZIONE ERRORI'!$E$4="F3",'DATI INGRESSO'!C413,IF('ELABORAZIONE ERRORI'!$E$4="F4",'DATI INGRESSO'!C428,IF('ELABORAZIONE ERRORI'!$E$4="F5",'DATI INGRESSO'!C443,0)))))+IF('ELABORAZIONE ERRORI'!$E$4="F6",'DATI INGRESSO'!C458,IF('ELABORAZIONE ERRORI'!$E$4="F7",'DATI INGRESSO'!C473,IF('ELABORAZIONE ERRORI'!$E$4="F8",'DATI INGRESSO'!C488,IF('ELABORAZIONE ERRORI'!$E$4="F9",'DATI INGRESSO'!C503,IF('ELABORAZIONE ERRORI'!$E$4="F10",'DATI INGRESSO'!C518,IF('ELABORAZIONE ERRORI'!$E$4="F11",'DATI INGRESSO'!C533,0))))))+IF('ELABORAZIONE ERRORI'!$E$4="F12",'DATI INGRESSO'!C551,IF('ELABORAZIONE ERRORI'!$E$4="F13",'DATI INGRESSO'!C566,IF('ELABORAZIONE ERRORI'!$E$4="F14",'DATI INGRESSO'!C581,IF('ELABORAZIONE ERRORI'!$E$4="F15",'DATI INGRESSO'!C596,IF('ELABORAZIONE ERRORI'!$E$4="F16",'DATI INGRESSO'!C611,0)))))+IF('ELABORAZIONE ERRORI'!$E$4="F17",'DATI INGRESSO'!C626,IF('ELABORAZIONE ERRORI'!$E$4="F18",'DATI INGRESSO'!C641,IF('ELABORAZIONE ERRORI'!$E$4="F19",'DATI INGRESSO'!C656,IF('ELABORAZIONE ERRORI'!$E$4="F20",'DATI INGRESSO'!C671,IF('ELABORAZIONE ERRORI'!$E$4="F21",'DATI INGRESSO'!C686,IF('ELABORAZIONE ERRORI'!$E$4="F22",'DATI INGRESSO'!C701,0))))))</f>
        <v>57.7</v>
      </c>
      <c r="N4" s="2" t="s">
        <v>199</v>
      </c>
      <c r="O4" s="12" t="str">
        <f>CONCATENATE(IF('ELABORAZIONE ERRORI'!$E$4="R1",'DATI INGRESSO'!I286,IF('ELABORAZIONE ERRORI'!$E$4="R2",'DATI INGRESSO'!I301,IF('ELABORAZIONE ERRORI'!$E$4="R3",'DATI INGRESSO'!I316,IF('ELABORAZIONE ERRORI'!$E$4="R4",'DATI INGRESSO'!I331,IF('ELABORAZIONE ERRORI'!$E$4="R5",'DATI INGRESSO'!I346,IF('ELABORAZIONE ERRORI'!$E$4="R6",'DATI INGRESSO'!I361,"")))))),IF('ELABORAZIONE ERRORI'!$E$4="F1",'DATI INGRESSO'!I383,IF('ELABORAZIONE ERRORI'!$E$4="F2",'DATI INGRESSO'!I398,IF('ELABORAZIONE ERRORI'!$E$4="F3",'DATI INGRESSO'!I413,IF('ELABORAZIONE ERRORI'!$E$4="F4",'DATI INGRESSO'!I428,IF('ELABORAZIONE ERRORI'!$E$4="F5",'DATI INGRESSO'!I443,""))))),IF('ELABORAZIONE ERRORI'!$E$4="F6",'DATI INGRESSO'!I458,IF('ELABORAZIONE ERRORI'!$E$4="F7",'DATI INGRESSO'!I473,IF('ELABORAZIONE ERRORI'!$E$4="F8",'DATI INGRESSO'!I488,IF('ELABORAZIONE ERRORI'!$E$4="F9",'DATI INGRESSO'!I503,IF('ELABORAZIONE ERRORI'!$E$4="F10",'DATI INGRESSO'!I518,IF('ELABORAZIONE ERRORI'!$E$4="F11",'DATI INGRESSO'!I533,"")))))),IF('ELABORAZIONE ERRORI'!$E$4="F12",'DATI INGRESSO'!I551,IF('ELABORAZIONE ERRORI'!$E$4="F13",'DATI INGRESSO'!I566,IF('ELABORAZIONE ERRORI'!$E$4="F14",'DATI INGRESSO'!I581,IF('ELABORAZIONE ERRORI'!$E$4="F15",'DATI INGRESSO'!I596,IF('ELABORAZIONE ERRORI'!$E$4="F16",'DATI INGRESSO'!I611,""))))),IF('ELABORAZIONE ERRORI'!$E$4="F17",'DATI INGRESSO'!I626,IF('ELABORAZIONE ERRORI'!$E$4="F18",'DATI INGRESSO'!I641,IF('ELABORAZIONE ERRORI'!$E$4="F19",'DATI INGRESSO'!I656,IF('ELABORAZIONE ERRORI'!$E$4="F20",'DATI INGRESSO'!I671,IF('ELABORAZIONE ERRORI'!$E$4="F21",'DATI INGRESSO'!I686,IF('ELABORAZIONE ERRORI'!$E$4="F22",'DATI INGRESSO'!I701,"")))))))</f>
        <v>2.8.0</v>
      </c>
      <c r="P4" s="12" t="str">
        <f>CONCATENATE(IF('ELABORAZIONE ERRORI'!$E$4="R1",'DATI INGRESSO'!G286,IF('ELABORAZIONE ERRORI'!$E$4="R2",'DATI INGRESSO'!G301,IF('ELABORAZIONE ERRORI'!$E$4="R3",'DATI INGRESSO'!G316,IF('ELABORAZIONE ERRORI'!$E$4="R4",'DATI INGRESSO'!G331,IF('ELABORAZIONE ERRORI'!$E$4="R5",'DATI INGRESSO'!G346,IF('ELABORAZIONE ERRORI'!$E$4="R6",'DATI INGRESSO'!G361,"")))))),IF('ELABORAZIONE ERRORI'!$E$4="F1",'DATI INGRESSO'!G383,IF('ELABORAZIONE ERRORI'!$E$4="F2",'DATI INGRESSO'!G398,IF('ELABORAZIONE ERRORI'!$E$4="F3",'DATI INGRESSO'!G413,IF('ELABORAZIONE ERRORI'!$E$4="F4",'DATI INGRESSO'!G428,IF('ELABORAZIONE ERRORI'!$E$4="F5",'DATI INGRESSO'!G443,""))))),IF('ELABORAZIONE ERRORI'!$E$4="F6",'DATI INGRESSO'!G458,IF('ELABORAZIONE ERRORI'!$E$4="F7",'DATI INGRESSO'!G473,IF('ELABORAZIONE ERRORI'!$E$4="F8",'DATI INGRESSO'!G488,IF('ELABORAZIONE ERRORI'!$E$4="F9",'DATI INGRESSO'!G503,IF('ELABORAZIONE ERRORI'!$E$4="F10",'DATI INGRESSO'!G518,IF('ELABORAZIONE ERRORI'!$E$4="F11",'DATI INGRESSO'!G533,"")))))),IF('ELABORAZIONE ERRORI'!$E$4="F12",'DATI INGRESSO'!G551,IF('ELABORAZIONE ERRORI'!$E$4="F13",'DATI INGRESSO'!G566,IF('ELABORAZIONE ERRORI'!$E$4="F14",'DATI INGRESSO'!G581,IF('ELABORAZIONE ERRORI'!$E$4="F15",'DATI INGRESSO'!G596,IF('ELABORAZIONE ERRORI'!$E$4="F16",'DATI INGRESSO'!G611,""))))),IF('ELABORAZIONE ERRORI'!$E$4="F17",'DATI INGRESSO'!G626,IF('ELABORAZIONE ERRORI'!$E$4="F18",'DATI INGRESSO'!G641,IF('ELABORAZIONE ERRORI'!$E$4="F19",'DATI INGRESSO'!G656,IF('ELABORAZIONE ERRORI'!$E$4="F20",'DATI INGRESSO'!G671,IF('ELABORAZIONE ERRORI'!$E$4="F21",'DATI INGRESSO'!G686,IF('ELABORAZIONE ERRORI'!$E$4="F22",'DATI INGRESSO'!G701,"")))))))</f>
        <v>A-</v>
      </c>
    </row>
    <row r="5" spans="1:16" ht="18" x14ac:dyDescent="0.35">
      <c r="B5" s="9"/>
      <c r="C5" s="123" t="s">
        <v>298</v>
      </c>
      <c r="D5" s="9"/>
      <c r="E5" s="13" t="str">
        <f>'VALUT. GLOBALE'!K4</f>
        <v>F-N</v>
      </c>
      <c r="G5" s="1347" t="s">
        <v>8</v>
      </c>
      <c r="H5" s="37" t="s">
        <v>211</v>
      </c>
      <c r="I5" s="6"/>
      <c r="K5" s="12" t="str">
        <f>CONCATENATE(IF('ELABORAZIONE ERRORI'!$E$4="R1",'DATI INGRESSO'!E285,IF('ELABORAZIONE ERRORI'!$E$4="R2",'DATI INGRESSO'!E300,IF('ELABORAZIONE ERRORI'!$E$4="R3",'DATI INGRESSO'!E315,IF('ELABORAZIONE ERRORI'!$E$4="R4",'DATI INGRESSO'!E330,IF('ELABORAZIONE ERRORI'!$E$4="R5",'DATI INGRESSO'!E345,IF('ELABORAZIONE ERRORI'!$E$4="R6",'DATI INGRESSO'!E360,"")))))),IF('ELABORAZIONE ERRORI'!$E$4="F1",'DATI INGRESSO'!E382,IF('ELABORAZIONE ERRORI'!$E$4="F2",'DATI INGRESSO'!E397,IF('ELABORAZIONE ERRORI'!$E$4="F3",'DATI INGRESSO'!E412,IF('ELABORAZIONE ERRORI'!$E$4="F4",'DATI INGRESSO'!E427,IF('ELABORAZIONE ERRORI'!$E$4="F5",'DATI INGRESSO'!E442,""))))),IF('ELABORAZIONE ERRORI'!$E$4="F6",'DATI INGRESSO'!E457,IF('ELABORAZIONE ERRORI'!$E$4="F7",'DATI INGRESSO'!E472,IF('ELABORAZIONE ERRORI'!$E$4="F8",'DATI INGRESSO'!E487,IF('ELABORAZIONE ERRORI'!$E$4="F9",'DATI INGRESSO'!E502,IF('ELABORAZIONE ERRORI'!$E$4="F10",'DATI INGRESSO'!E517,IF('ELABORAZIONE ERRORI'!$E$4="F11",'DATI INGRESSO'!E532,"")))))),IF('ELABORAZIONE ERRORI'!$E$4="F12",'DATI INGRESSO'!E550,IF('ELABORAZIONE ERRORI'!$E$4="F13",'DATI INGRESSO'!E565,IF('ELABORAZIONE ERRORI'!$E$4="F14",'DATI INGRESSO'!E580,IF('ELABORAZIONE ERRORI'!$E$4="F15",'DATI INGRESSO'!E595,IF('ELABORAZIONE ERRORI'!$E$4="F16",'DATI INGRESSO'!E610,""))))),IF('ELABORAZIONE ERRORI'!$E$4="F17",'DATI INGRESSO'!E625,IF('ELABORAZIONE ERRORI'!$E$4="F18",'DATI INGRESSO'!E640,IF('ELABORAZIONE ERRORI'!$E$4="F19",'DATI INGRESSO'!E655,IF('ELABORAZIONE ERRORI'!$E$4="F20",'DATI INGRESSO'!E670,IF('ELABORAZIONE ERRORI'!$E$4="F21",'DATI INGRESSO'!E685,IF('ELABORAZIONE ERRORI'!$E$4="F22",'DATI INGRESSO'!E700,"")))))))</f>
        <v>NO</v>
      </c>
      <c r="L5" s="2" t="s">
        <v>548</v>
      </c>
      <c r="M5" s="2" t="s">
        <v>177</v>
      </c>
      <c r="N5" s="2">
        <f>IF('ELABORAZIONE ERRORI'!$E$4="R1",'DATI INGRESSO'!K287,IF('ELABORAZIONE ERRORI'!$E$4="R2",'DATI INGRESSO'!K302,IF('ELABORAZIONE ERRORI'!$E$4="R3",'DATI INGRESSO'!K317,IF('ELABORAZIONE ERRORI'!$E$4="R4",'DATI INGRESSO'!K332,IF('ELABORAZIONE ERRORI'!$E$4="R5",'DATI INGRESSO'!K347,IF('ELABORAZIONE ERRORI'!$E$4="R6",'DATI INGRESSO'!K362,0))))))+IF('ELABORAZIONE ERRORI'!$E$4="F1",'DATI INGRESSO'!K384,IF('ELABORAZIONE ERRORI'!$E$4="F2",'DATI INGRESSO'!K399,IF('ELABORAZIONE ERRORI'!$E$4="F3",'DATI INGRESSO'!K414,IF('ELABORAZIONE ERRORI'!$E$4="F4",'DATI INGRESSO'!K429,IF('ELABORAZIONE ERRORI'!$E$4="F5",'DATI INGRESSO'!K444,0)))))+IF('ELABORAZIONE ERRORI'!$E$4="F6",'DATI INGRESSO'!K459,IF('ELABORAZIONE ERRORI'!$E$4="F7",'DATI INGRESSO'!K474,IF('ELABORAZIONE ERRORI'!$E$4="F8",'DATI INGRESSO'!K489,IF('ELABORAZIONE ERRORI'!$E$4="F9",'DATI INGRESSO'!K504,IF('ELABORAZIONE ERRORI'!$E$4="F10",'DATI INGRESSO'!K519,IF('ELABORAZIONE ERRORI'!$E$4="F11",'DATI INGRESSO'!K534,0))))))+IF('ELABORAZIONE ERRORI'!$E$4="F12",'DATI INGRESSO'!K552,IF('ELABORAZIONE ERRORI'!$E$4="F13",'DATI INGRESSO'!K567,IF('ELABORAZIONE ERRORI'!$E$4="F14",'DATI INGRESSO'!K582,IF('ELABORAZIONE ERRORI'!$E$4="F15",'DATI INGRESSO'!K597,IF('ELABORAZIONE ERRORI'!$E$4="F16",'DATI INGRESSO'!K612,0)))))+IF('ELABORAZIONE ERRORI'!$E$4="F17",'DATI INGRESSO'!K627,IF('ELABORAZIONE ERRORI'!$E$4="F18",'DATI INGRESSO'!K642,IF('ELABORAZIONE ERRORI'!$E$4="F19",'DATI INGRESSO'!K657,IF('ELABORAZIONE ERRORI'!$E$4="F20",'DATI INGRESSO'!K672,IF('ELABORAZIONE ERRORI'!$E$4="F21",'DATI INGRESSO'!K687,IF('ELABORAZIONE ERRORI'!$E$4="F22",'DATI INGRESSO'!K702,0))))))</f>
        <v>-1E-3</v>
      </c>
      <c r="O5" s="9" t="s">
        <v>191</v>
      </c>
      <c r="P5" s="3"/>
    </row>
    <row r="6" spans="1:16" ht="15" customHeight="1" x14ac:dyDescent="0.35">
      <c r="A6" s="1478" t="s">
        <v>35</v>
      </c>
      <c r="B6" s="124" t="s">
        <v>21</v>
      </c>
      <c r="C6" s="9" t="s">
        <v>22</v>
      </c>
      <c r="D6" s="9"/>
      <c r="E6" s="12" t="str">
        <f>'DATI INGRESSO'!H143</f>
        <v/>
      </c>
      <c r="G6" s="1349"/>
      <c r="H6" s="37" t="s">
        <v>212</v>
      </c>
      <c r="I6" s="6"/>
      <c r="K6" s="12" t="str">
        <f>CONCATENATE(IF('ELABORAZIONE ERRORI'!$E$4="R1",'DATI INGRESSO'!I285,IF('ELABORAZIONE ERRORI'!$E$4="R2",'DATI INGRESSO'!I300,IF('ELABORAZIONE ERRORI'!$E$4="R3",'DATI INGRESSO'!I315,IF('ELABORAZIONE ERRORI'!$E$4="R4",'DATI INGRESSO'!I330,IF('ELABORAZIONE ERRORI'!$E$4="R5",'DATI INGRESSO'!I345,IF('ELABORAZIONE ERRORI'!$E$4="R6",'DATI INGRESSO'!I360,"")))))),IF('ELABORAZIONE ERRORI'!$E$4="F1",'DATI INGRESSO'!I382,IF('ELABORAZIONE ERRORI'!$E$4="F2",'DATI INGRESSO'!I397,IF('ELABORAZIONE ERRORI'!$E$4="F3",'DATI INGRESSO'!I412,IF('ELABORAZIONE ERRORI'!$E$4="F4",'DATI INGRESSO'!I427,IF('ELABORAZIONE ERRORI'!$E$4="F5",'DATI INGRESSO'!I442,""))))),IF('ELABORAZIONE ERRORI'!$E$4="F6",'DATI INGRESSO'!I457,IF('ELABORAZIONE ERRORI'!$E$4="F7",'DATI INGRESSO'!I472,IF('ELABORAZIONE ERRORI'!$E$4="F8",'DATI INGRESSO'!I487,IF('ELABORAZIONE ERRORI'!$E$4="F9",'DATI INGRESSO'!I502,IF('ELABORAZIONE ERRORI'!$E$4="F10",'DATI INGRESSO'!I517,IF('ELABORAZIONE ERRORI'!$E$4="F11",'DATI INGRESSO'!I532,"")))))),IF('ELABORAZIONE ERRORI'!$E$4="F12",'DATI INGRESSO'!I550,IF('ELABORAZIONE ERRORI'!$E$4="F13",'DATI INGRESSO'!I565,IF('ELABORAZIONE ERRORI'!$E$4="F14",'DATI INGRESSO'!I580,IF('ELABORAZIONE ERRORI'!$E$4="F15",'DATI INGRESSO'!I595,IF('ELABORAZIONE ERRORI'!$E$4="F16",'DATI INGRESSO'!I610,""))))),IF('ELABORAZIONE ERRORI'!$E$4="F17",'DATI INGRESSO'!I625,IF('ELABORAZIONE ERRORI'!$E$4="F18",'DATI INGRESSO'!I640,IF('ELABORAZIONE ERRORI'!$E$4="F19",'DATI INGRESSO'!I655,IF('ELABORAZIONE ERRORI'!$E$4="F20",'DATI INGRESSO'!I670,IF('ELABORAZIONE ERRORI'!$E$4="F21",'DATI INGRESSO'!I685,IF('ELABORAZIONE ERRORI'!$E$4="F22",'DATI INGRESSO'!I700,"")))))))</f>
        <v>NON SERVE</v>
      </c>
      <c r="L6" s="2">
        <f>IF('ELABORAZIONE ERRORI'!$E$4="R1",'DATI INGRESSO'!G289,IF('ELABORAZIONE ERRORI'!$E$4="R2",'DATI INGRESSO'!G304,IF('ELABORAZIONE ERRORI'!$E$4="R3",'DATI INGRESSO'!G319,IF('ELABORAZIONE ERRORI'!$E$4="R4",'DATI INGRESSO'!G334,IF('ELABORAZIONE ERRORI'!$E$4="R5",'DATI INGRESSO'!G349,IF('ELABORAZIONE ERRORI'!$E$4="R6",'DATI INGRESSO'!G364,0))))))+IF('ELABORAZIONE ERRORI'!$E$4="F1",'DATI INGRESSO'!F385,IF('ELABORAZIONE ERRORI'!$E$4="F2",'DATI INGRESSO'!F400,IF('ELABORAZIONE ERRORI'!$E$4="F3",'DATI INGRESSO'!F415,IF('ELABORAZIONE ERRORI'!$E$4="F4",'DATI INGRESSO'!F430,IF('ELABORAZIONE ERRORI'!$E$4="F5",'DATI INGRESSO'!F445,0)))))+IF('ELABORAZIONE ERRORI'!$E$4="F6",'DATI INGRESSO'!F460,IF('ELABORAZIONE ERRORI'!$E$4="F7",'DATI INGRESSO'!F475,IF('ELABORAZIONE ERRORI'!$E$4="F8",'DATI INGRESSO'!F490,IF('ELABORAZIONE ERRORI'!$E$4="F9",'DATI INGRESSO'!F505,IF('ELABORAZIONE ERRORI'!$E$4="F10",'DATI INGRESSO'!F520,IF('ELABORAZIONE ERRORI'!$E$4="F11",'DATI INGRESSO'!F535,0))))))+IF('ELABORAZIONE ERRORI'!$E$4="F12",'DATI INGRESSO'!F553,IF('ELABORAZIONE ERRORI'!$E$4="F13",'DATI INGRESSO'!F568,IF('ELABORAZIONE ERRORI'!$E$4="F14",'DATI INGRESSO'!F583,IF('ELABORAZIONE ERRORI'!$E$4="F15",'DATI INGRESSO'!F598,IF('ELABORAZIONE ERRORI'!$E$4="F16",'DATI INGRESSO'!F613,0)))))+IF('ELABORAZIONE ERRORI'!$E$4="F17",'DATI INGRESSO'!F628,IF('ELABORAZIONE ERRORI'!$E$4="F18",'DATI INGRESSO'!F643,IF('ELABORAZIONE ERRORI'!$E$4="F19",'DATI INGRESSO'!F658,IF('ELABORAZIONE ERRORI'!$E$4="F20",'DATI INGRESSO'!F673,IF('ELABORAZIONE ERRORI'!$E$4="F21",'DATI INGRESSO'!F688,IF('ELABORAZIONE ERRORI'!$E$4="F22",'DATI INGRESSO'!F703,0))))))</f>
        <v>2.1110000000000002</v>
      </c>
      <c r="M6" s="2" t="s">
        <v>178</v>
      </c>
      <c r="N6" s="2">
        <f>IF('ELABORAZIONE ERRORI'!$E$4="R1",'DATI INGRESSO'!K288,IF('ELABORAZIONE ERRORI'!$E$4="R2",'DATI INGRESSO'!K303,IF('ELABORAZIONE ERRORI'!$E$4="R3",'DATI INGRESSO'!K318,IF('ELABORAZIONE ERRORI'!$E$4="R4",'DATI INGRESSO'!K333,IF('ELABORAZIONE ERRORI'!$E$4="R5",'DATI INGRESSO'!K348,IF('ELABORAZIONE ERRORI'!$E$4="R6",'DATI INGRESSO'!K363,0))))))+IF('ELABORAZIONE ERRORI'!$E$4="F1",'DATI INGRESSO'!K385,IF('ELABORAZIONE ERRORI'!$E$4="F2",'DATI INGRESSO'!K400,IF('ELABORAZIONE ERRORI'!$E$4="F3",'DATI INGRESSO'!K415,IF('ELABORAZIONE ERRORI'!$E$4="F4",'DATI INGRESSO'!K430,IF('ELABORAZIONE ERRORI'!$E$4="F5",'DATI INGRESSO'!K445,0)))))+IF('ELABORAZIONE ERRORI'!$E$4="F6",'DATI INGRESSO'!K460,IF('ELABORAZIONE ERRORI'!$E$4="F7",'DATI INGRESSO'!K475,IF('ELABORAZIONE ERRORI'!$E$4="F8",'DATI INGRESSO'!K490,IF('ELABORAZIONE ERRORI'!$E$4="F9",'DATI INGRESSO'!K505,IF('ELABORAZIONE ERRORI'!$E$4="F10",'DATI INGRESSO'!K520,IF('ELABORAZIONE ERRORI'!$E$4="F11",'DATI INGRESSO'!K535,0))))))+IF('ELABORAZIONE ERRORI'!$E$4="F12",'DATI INGRESSO'!K553,IF('ELABORAZIONE ERRORI'!$E$4="F13",'DATI INGRESSO'!K568,IF('ELABORAZIONE ERRORI'!$E$4="F14",'DATI INGRESSO'!K583,IF('ELABORAZIONE ERRORI'!$E$4="F15",'DATI INGRESSO'!K598,IF('ELABORAZIONE ERRORI'!$E$4="F16",'DATI INGRESSO'!K613,0)))))+IF('ELABORAZIONE ERRORI'!$E$4="F17",'DATI INGRESSO'!K628,IF('ELABORAZIONE ERRORI'!$E$4="F18",'DATI INGRESSO'!K643,IF('ELABORAZIONE ERRORI'!$E$4="F19",'DATI INGRESSO'!K658,IF('ELABORAZIONE ERRORI'!$E$4="F20",'DATI INGRESSO'!K673,IF('ELABORAZIONE ERRORI'!$E$4="F21",'DATI INGRESSO'!K688,IF('ELABORAZIONE ERRORI'!$E$4="F22",'DATI INGRESSO'!K703,0))))))</f>
        <v>-1.1000000000000001E-3</v>
      </c>
      <c r="O6" s="2">
        <f>IF('ELABORAZIONE ERRORI'!$E$4="R1",'DATI INGRESSO'!L288,IF('ELABORAZIONE ERRORI'!$E$4="R2",'DATI INGRESSO'!L303,IF('ELABORAZIONE ERRORI'!$E$4="R3",'DATI INGRESSO'!L318,IF('ELABORAZIONE ERRORI'!$E$4="R4",'DATI INGRESSO'!L333,IF('ELABORAZIONE ERRORI'!$E$4="R5",'DATI INGRESSO'!L348,IF('ELABORAZIONE ERRORI'!$E$4="R6",'DATI INGRESSO'!L363,0))))))+IF('ELABORAZIONE ERRORI'!$E$4="F1",'DATI INGRESSO'!L385,IF('ELABORAZIONE ERRORI'!$E$4="F2",'DATI INGRESSO'!L400,IF('ELABORAZIONE ERRORI'!$E$4="F3",'DATI INGRESSO'!L415,IF('ELABORAZIONE ERRORI'!$E$4="F4",'DATI INGRESSO'!L430,IF('ELABORAZIONE ERRORI'!$E$4="F5",'DATI INGRESSO'!L445,0)))))+IF('ELABORAZIONE ERRORI'!$E$4="F6",'DATI INGRESSO'!L460,IF('ELABORAZIONE ERRORI'!$E$4="F7",'DATI INGRESSO'!L475,IF('ELABORAZIONE ERRORI'!$E$4="F8",'DATI INGRESSO'!L490,IF('ELABORAZIONE ERRORI'!$E$4="F9",'DATI INGRESSO'!L505,IF('ELABORAZIONE ERRORI'!$E$4="F10",'DATI INGRESSO'!L520,IF('ELABORAZIONE ERRORI'!$E$4="F11",'DATI INGRESSO'!L535,0))))))+IF('ELABORAZIONE ERRORI'!$E$4="F12",'DATI INGRESSO'!L553,IF('ELABORAZIONE ERRORI'!$E$4="F13",'DATI INGRESSO'!L568,IF('ELABORAZIONE ERRORI'!$E$4="F14",'DATI INGRESSO'!L583,IF('ELABORAZIONE ERRORI'!$E$4="F15",'DATI INGRESSO'!L598,IF('ELABORAZIONE ERRORI'!$E$4="F16",'DATI INGRESSO'!L613,0)))))+IF('ELABORAZIONE ERRORI'!$E$4="F17",'DATI INGRESSO'!L628,IF('ELABORAZIONE ERRORI'!$E$4="F18",'DATI INGRESSO'!L643,IF('ELABORAZIONE ERRORI'!$E$4="F19",'DATI INGRESSO'!L658,IF('ELABORAZIONE ERRORI'!$E$4="F20",'DATI INGRESSO'!L673,IF('ELABORAZIONE ERRORI'!$E$4="F21",'DATI INGRESSO'!L688,IF('ELABORAZIONE ERRORI'!$E$4="F22",'DATI INGRESSO'!L703,0))))))</f>
        <v>-1.1000000000000001E-3</v>
      </c>
    </row>
    <row r="7" spans="1:16" x14ac:dyDescent="0.25">
      <c r="A7" s="1478"/>
      <c r="B7" s="124"/>
      <c r="C7" s="9" t="s">
        <v>23</v>
      </c>
      <c r="D7" s="9"/>
      <c r="E7" s="12" t="str">
        <f>'DATI INGRESSO'!H146</f>
        <v>X</v>
      </c>
      <c r="G7" s="27" t="s">
        <v>332</v>
      </c>
      <c r="H7" s="9" t="s">
        <v>1</v>
      </c>
      <c r="I7" s="2">
        <f>IF('ELABORAZIONE ERRORI'!$E$4="R1",'DATI INGRESSO'!C288,IF('ELABORAZIONE ERRORI'!$E$4="R2",'DATI INGRESSO'!C303,IF('ELABORAZIONE ERRORI'!$E$4="R3",'DATI INGRESSO'!C318,IF('ELABORAZIONE ERRORI'!$E$4="R4",'DATI INGRESSO'!C333,IF('ELABORAZIONE ERRORI'!$E$4="R5",'DATI INGRESSO'!C348,IF('ELABORAZIONE ERRORI'!$E$4="R6",'DATI INGRESSO'!C363,0))))))+IF('ELABORAZIONE ERRORI'!$E$4="F1",'DATI INGRESSO'!C385,IF('ELABORAZIONE ERRORI'!$E$4="F2",'DATI INGRESSO'!C400,IF('ELABORAZIONE ERRORI'!$E$4="F3",'DATI INGRESSO'!C415,IF('ELABORAZIONE ERRORI'!$E$4="F4",'DATI INGRESSO'!C430,IF('ELABORAZIONE ERRORI'!$E$4="F5",'DATI INGRESSO'!C445,0)))))+IF('ELABORAZIONE ERRORI'!$E$4="F6",'DATI INGRESSO'!C460,IF('ELABORAZIONE ERRORI'!$E$4="F7",'DATI INGRESSO'!C475,IF('ELABORAZIONE ERRORI'!$E$4="F8",'DATI INGRESSO'!C490,IF('ELABORAZIONE ERRORI'!$E$4="F9",'DATI INGRESSO'!C505,IF('ELABORAZIONE ERRORI'!$E$4="F10",'DATI INGRESSO'!C520,IF('ELABORAZIONE ERRORI'!$E$4="F11",'DATI INGRESSO'!C535,0))))))+IF('ELABORAZIONE ERRORI'!$E$4="F12",'DATI INGRESSO'!C553,IF('ELABORAZIONE ERRORI'!$E$4="F13",'DATI INGRESSO'!C568,IF('ELABORAZIONE ERRORI'!$E$4="F14",'DATI INGRESSO'!C583,IF('ELABORAZIONE ERRORI'!$E$4="F15",'DATI INGRESSO'!C598,IF('ELABORAZIONE ERRORI'!$E$4="F16",'DATI INGRESSO'!C613,0)))))+IF('ELABORAZIONE ERRORI'!$E$4="F17",'DATI INGRESSO'!C628,IF('ELABORAZIONE ERRORI'!$E$4="F18",'DATI INGRESSO'!C643,IF('ELABORAZIONE ERRORI'!$E$4="F19",'DATI INGRESSO'!C658,IF('ELABORAZIONE ERRORI'!$E$4="F20",'DATI INGRESSO'!C673,IF('ELABORAZIONE ERRORI'!$E$4="F21",'DATI INGRESSO'!C688,IF('ELABORAZIONE ERRORI'!$E$4="F22",'DATI INGRESSO'!C703,0))))))</f>
        <v>0.504</v>
      </c>
      <c r="J7" s="27" t="s">
        <v>333</v>
      </c>
      <c r="K7" s="9" t="s">
        <v>1</v>
      </c>
      <c r="L7" s="2">
        <f>IF('ELABORAZIONE ERRORI'!$E$4="R1",'DATI INGRESSO'!C289,IF('ELABORAZIONE ERRORI'!$E$4="R2",'DATI INGRESSO'!C304,IF('ELABORAZIONE ERRORI'!$E$4="R3",'DATI INGRESSO'!C319,IF('ELABORAZIONE ERRORI'!$E$4="R4",'DATI INGRESSO'!C334,IF('ELABORAZIONE ERRORI'!$E$4="R5",'DATI INGRESSO'!C349,IF('ELABORAZIONE ERRORI'!$E$4="R6",'DATI INGRESSO'!C364,0))))))+IF('ELABORAZIONE ERRORI'!$E$4="F1",'DATI INGRESSO'!C386,IF('ELABORAZIONE ERRORI'!$E$4="F2",'DATI INGRESSO'!C401,IF('ELABORAZIONE ERRORI'!$E$4="F3",'DATI INGRESSO'!C416,IF('ELABORAZIONE ERRORI'!$E$4="F4",'DATI INGRESSO'!C431,IF('ELABORAZIONE ERRORI'!$E$4="F5",'DATI INGRESSO'!C446,0)))))+IF('ELABORAZIONE ERRORI'!$E$4="F6",'DATI INGRESSO'!C461,IF('ELABORAZIONE ERRORI'!$E$4="F7",'DATI INGRESSO'!C476,IF('ELABORAZIONE ERRORI'!$E$4="F8",'DATI INGRESSO'!C491,IF('ELABORAZIONE ERRORI'!$E$4="F9",'DATI INGRESSO'!C506,IF('ELABORAZIONE ERRORI'!$E$4="F10",'DATI INGRESSO'!C521,IF('ELABORAZIONE ERRORI'!$E$4="F11",'DATI INGRESSO'!C536,0))))))+IF('ELABORAZIONE ERRORI'!$E$4="F12",'DATI INGRESSO'!C554,IF('ELABORAZIONE ERRORI'!$E$4="F13",'DATI INGRESSO'!C569,IF('ELABORAZIONE ERRORI'!$E$4="F14",'DATI INGRESSO'!C584,IF('ELABORAZIONE ERRORI'!$E$4="F15",'DATI INGRESSO'!C599,IF('ELABORAZIONE ERRORI'!$E$4="F16",'DATI INGRESSO'!C614,0)))))+IF('ELABORAZIONE ERRORI'!$E$4="F17",'DATI INGRESSO'!C629,IF('ELABORAZIONE ERRORI'!$E$4="F18",'DATI INGRESSO'!C644,IF('ELABORAZIONE ERRORI'!$E$4="F19",'DATI INGRESSO'!C659,IF('ELABORAZIONE ERRORI'!$E$4="F20",'DATI INGRESSO'!C674,IF('ELABORAZIONE ERRORI'!$E$4="F21",'DATI INGRESSO'!C689,IF('ELABORAZIONE ERRORI'!$E$4="F22",'DATI INGRESSO'!C704,0))))))</f>
        <v>0.57700000000000007</v>
      </c>
      <c r="M7" s="9" t="s">
        <v>179</v>
      </c>
      <c r="N7" s="2">
        <f>IF('ELABORAZIONE ERRORI'!$E$4="R1",'DATI INGRESSO'!K289,IF('ELABORAZIONE ERRORI'!$E$4="R2",'DATI INGRESSO'!K304,IF('ELABORAZIONE ERRORI'!$E$4="R3",'DATI INGRESSO'!K319,IF('ELABORAZIONE ERRORI'!$E$4="R4",'DATI INGRESSO'!K334,IF('ELABORAZIONE ERRORI'!$E$4="R5",'DATI INGRESSO'!K349,IF('ELABORAZIONE ERRORI'!$E$4="R6",'DATI INGRESSO'!K364,0))))))+IF('ELABORAZIONE ERRORI'!$E$4="F1",'DATI INGRESSO'!K386,IF('ELABORAZIONE ERRORI'!$E$4="F2",'DATI INGRESSO'!K401,IF('ELABORAZIONE ERRORI'!$E$4="F3",'DATI INGRESSO'!K416,IF('ELABORAZIONE ERRORI'!$E$4="F4",'DATI INGRESSO'!K431,IF('ELABORAZIONE ERRORI'!$E$4="F5",'DATI INGRESSO'!K446,0)))))+IF('ELABORAZIONE ERRORI'!$E$4="F6",'DATI INGRESSO'!K461,IF('ELABORAZIONE ERRORI'!$E$4="F7",'DATI INGRESSO'!K476,IF('ELABORAZIONE ERRORI'!$E$4="F8",'DATI INGRESSO'!K491,IF('ELABORAZIONE ERRORI'!$E$4="F9",'DATI INGRESSO'!K506,IF('ELABORAZIONE ERRORI'!$E$4="F10",'DATI INGRESSO'!K521,IF('ELABORAZIONE ERRORI'!$E$4="F11",'DATI INGRESSO'!K536,0))))))+IF('ELABORAZIONE ERRORI'!$E$4="F12",'DATI INGRESSO'!K554,IF('ELABORAZIONE ERRORI'!$E$4="F13",'DATI INGRESSO'!K569,IF('ELABORAZIONE ERRORI'!$E$4="F14",'DATI INGRESSO'!K584,IF('ELABORAZIONE ERRORI'!$E$4="F15",'DATI INGRESSO'!K599,IF('ELABORAZIONE ERRORI'!$E$4="F16",'DATI INGRESSO'!K614,0)))))+IF('ELABORAZIONE ERRORI'!$E$4="F17",'DATI INGRESSO'!K629,IF('ELABORAZIONE ERRORI'!$E$4="F18",'DATI INGRESSO'!K644,IF('ELABORAZIONE ERRORI'!$E$4="F19",'DATI INGRESSO'!K659,IF('ELABORAZIONE ERRORI'!$E$4="F20",'DATI INGRESSO'!K674,IF('ELABORAZIONE ERRORI'!$E$4="F21",'DATI INGRESSO'!K689,IF('ELABORAZIONE ERRORI'!$E$4="F22",'DATI INGRESSO'!K704,0))))))</f>
        <v>-1.1999999999999999E-3</v>
      </c>
    </row>
    <row r="8" spans="1:16" x14ac:dyDescent="0.25">
      <c r="A8" s="1478"/>
      <c r="B8" s="124" t="s">
        <v>64</v>
      </c>
      <c r="C8" s="9" t="s">
        <v>235</v>
      </c>
      <c r="D8" s="9"/>
      <c r="E8" s="125" t="str">
        <f>'DATI INGRESSO'!H149</f>
        <v>X</v>
      </c>
      <c r="G8" s="2" t="s">
        <v>286</v>
      </c>
      <c r="H8" s="9" t="s">
        <v>282</v>
      </c>
      <c r="I8" s="12" t="str">
        <f>CONCATENATE(IF('ELABORAZIONE ERRORI'!$E$4="R1",'DATI INGRESSO'!C290,IF('ELABORAZIONE ERRORI'!$E$4="R2",'DATI INGRESSO'!C305,IF('ELABORAZIONE ERRORI'!$E$4="R3",'DATI INGRESSO'!C320,IF('ELABORAZIONE ERRORI'!$E$4="R4",'DATI INGRESSO'!C335,IF('ELABORAZIONE ERRORI'!$E$4="R5",'DATI INGRESSO'!C350,IF('ELABORAZIONE ERRORI'!$E$4="R6",'DATI INGRESSO'!C365,"")))))),IF('ELABORAZIONE ERRORI'!$E$4="F1",'DATI INGRESSO'!C387,IF('ELABORAZIONE ERRORI'!$E$4="F2",'DATI INGRESSO'!C402,IF('ELABORAZIONE ERRORI'!$E$4="F3",'DATI INGRESSO'!C417,IF('ELABORAZIONE ERRORI'!$E$4="F4",'DATI INGRESSO'!C432,IF('ELABORAZIONE ERRORI'!$E$4="F5",'DATI INGRESSO'!C447,""))))),IF('ELABORAZIONE ERRORI'!$E$4="F6",'DATI INGRESSO'!C462,IF('ELABORAZIONE ERRORI'!$E$4="F7",'DATI INGRESSO'!C477,IF('ELABORAZIONE ERRORI'!$E$4="F8",'DATI INGRESSO'!C492,IF('ELABORAZIONE ERRORI'!$E$4="F9",'DATI INGRESSO'!C507,IF('ELABORAZIONE ERRORI'!$E$4="F10",'DATI INGRESSO'!C522,IF('ELABORAZIONE ERRORI'!$E$4="F11",'DATI INGRESSO'!C537,"")))))),IF('ELABORAZIONE ERRORI'!$E$4="F12",'DATI INGRESSO'!C555,IF('ELABORAZIONE ERRORI'!$E$4="F13",'DATI INGRESSO'!C570,IF('ELABORAZIONE ERRORI'!$E$4="F14",'DATI INGRESSO'!C585,IF('ELABORAZIONE ERRORI'!$E$4="F15",'DATI INGRESSO'!C600,IF('ELABORAZIONE ERRORI'!$E$4="F16",'DATI INGRESSO'!C615,""))))),IF('ELABORAZIONE ERRORI'!$E$4="F17",'DATI INGRESSO'!C630,IF('ELABORAZIONE ERRORI'!$E$4="F18",'DATI INGRESSO'!C645,IF('ELABORAZIONE ERRORI'!$E$4="F19",'DATI INGRESSO'!C660,IF('ELABORAZIONE ERRORI'!$E$4="F20",'DATI INGRESSO'!C675,IF('ELABORAZIONE ERRORI'!$E$4="F21",'DATI INGRESSO'!C690,IF('ELABORAZIONE ERRORI'!$E$4="F22",'DATI INGRESSO'!C705,"")))))))</f>
        <v>X</v>
      </c>
      <c r="J8" s="9" t="s">
        <v>283</v>
      </c>
      <c r="K8" s="12" t="str">
        <f>CONCATENATE(IF('ELABORAZIONE ERRORI'!$E$4="R1",'DATI INGRESSO'!E290,IF('ELABORAZIONE ERRORI'!$E$4="R2",'DATI INGRESSO'!E305,IF('ELABORAZIONE ERRORI'!$E$4="R3",'DATI INGRESSO'!E320,IF('ELABORAZIONE ERRORI'!$E$4="R4",'DATI INGRESSO'!E335,IF('ELABORAZIONE ERRORI'!$E$4="R5",'DATI INGRESSO'!E350,IF('ELABORAZIONE ERRORI'!$E$4="R6",'DATI INGRESSO'!E365,"")))))),IF('ELABORAZIONE ERRORI'!$E$4="F1",'DATI INGRESSO'!E387,IF('ELABORAZIONE ERRORI'!$E$4="F2",'DATI INGRESSO'!E402,IF('ELABORAZIONE ERRORI'!$E$4="F3",'DATI INGRESSO'!E417,IF('ELABORAZIONE ERRORI'!$E$4="F4",'DATI INGRESSO'!E432,IF('ELABORAZIONE ERRORI'!$E$4="F5",'DATI INGRESSO'!E447,""))))),IF('ELABORAZIONE ERRORI'!$E$4="F6",'DATI INGRESSO'!E462,IF('ELABORAZIONE ERRORI'!$E$4="F7",'DATI INGRESSO'!E477,IF('ELABORAZIONE ERRORI'!$E$4="F8",'DATI INGRESSO'!E492,IF('ELABORAZIONE ERRORI'!$E$4="F9",'DATI INGRESSO'!E507,IF('ELABORAZIONE ERRORI'!$E$4="F10",'DATI INGRESSO'!E522,IF('ELABORAZIONE ERRORI'!$E$4="F11",'DATI INGRESSO'!E537,"")))))),IF('ELABORAZIONE ERRORI'!$E$4="F12",'DATI INGRESSO'!E555,IF('ELABORAZIONE ERRORI'!$E$4="F13",'DATI INGRESSO'!E570,IF('ELABORAZIONE ERRORI'!$E$4="F14",'DATI INGRESSO'!E585,IF('ELABORAZIONE ERRORI'!$E$4="F15",'DATI INGRESSO'!E600,IF('ELABORAZIONE ERRORI'!$E$4="F16",'DATI INGRESSO'!E615,""))))),IF('ELABORAZIONE ERRORI'!$E$4="F17",'DATI INGRESSO'!E630,IF('ELABORAZIONE ERRORI'!$E$4="F18",'DATI INGRESSO'!E645,IF('ELABORAZIONE ERRORI'!$E$4="F19",'DATI INGRESSO'!E660,IF('ELABORAZIONE ERRORI'!$E$4="F20",'DATI INGRESSO'!E675,IF('ELABORAZIONE ERRORI'!$E$4="F21",'DATI INGRESSO'!E690,IF('ELABORAZIONE ERRORI'!$E$4="F22",'DATI INGRESSO'!E705,"")))))))</f>
        <v/>
      </c>
      <c r="L8" s="26" t="s">
        <v>284</v>
      </c>
      <c r="M8" s="12" t="str">
        <f>CONCATENATE(IF('ELABORAZIONE ERRORI'!$E$4="R1",'DATI INGRESSO'!G290,IF('ELABORAZIONE ERRORI'!$E$4="R2",'DATI INGRESSO'!G305,IF('ELABORAZIONE ERRORI'!$E$4="R3",'DATI INGRESSO'!G320,IF('ELABORAZIONE ERRORI'!$E$4="R4",'DATI INGRESSO'!G335,IF('ELABORAZIONE ERRORI'!$E$4="R5",'DATI INGRESSO'!G350,IF('ELABORAZIONE ERRORI'!$E$4="R6",'DATI INGRESSO'!G365,"")))))),IF('ELABORAZIONE ERRORI'!$E$4="F1",'DATI INGRESSO'!G387,IF('ELABORAZIONE ERRORI'!$E$4="F2",'DATI INGRESSO'!G402,IF('ELABORAZIONE ERRORI'!$E$4="F3",'DATI INGRESSO'!G417,IF('ELABORAZIONE ERRORI'!$E$4="F4",'DATI INGRESSO'!G432,IF('ELABORAZIONE ERRORI'!$E$4="F5",'DATI INGRESSO'!G447,""))))),IF('ELABORAZIONE ERRORI'!$E$4="F6",'DATI INGRESSO'!G462,IF('ELABORAZIONE ERRORI'!$E$4="F7",'DATI INGRESSO'!G477,IF('ELABORAZIONE ERRORI'!$E$4="F8",'DATI INGRESSO'!G492,IF('ELABORAZIONE ERRORI'!$E$4="F9",'DATI INGRESSO'!G507,IF('ELABORAZIONE ERRORI'!$E$4="F10",'DATI INGRESSO'!G522,IF('ELABORAZIONE ERRORI'!$E$4="F11",'DATI INGRESSO'!G537,"")))))),IF('ELABORAZIONE ERRORI'!$E$4="F12",'DATI INGRESSO'!G555,IF('ELABORAZIONE ERRORI'!$E$4="F13",'DATI INGRESSO'!G570,IF('ELABORAZIONE ERRORI'!$E$4="F14",'DATI INGRESSO'!G585,IF('ELABORAZIONE ERRORI'!$E$4="F15",'DATI INGRESSO'!G600,IF('ELABORAZIONE ERRORI'!$E$4="F16",'DATI INGRESSO'!G615,""))))),IF('ELABORAZIONE ERRORI'!$E$4="F17",'DATI INGRESSO'!G630,IF('ELABORAZIONE ERRORI'!$E$4="F18",'DATI INGRESSO'!G645,IF('ELABORAZIONE ERRORI'!$E$4="F19",'DATI INGRESSO'!G660,IF('ELABORAZIONE ERRORI'!$E$4="F20",'DATI INGRESSO'!G675,IF('ELABORAZIONE ERRORI'!$E$4="F21",'DATI INGRESSO'!G690,IF('ELABORAZIONE ERRORI'!$E$4="F22",'DATI INGRESSO'!G705,"")))))))</f>
        <v/>
      </c>
      <c r="N8" s="28" t="s">
        <v>285</v>
      </c>
      <c r="O8" s="12" t="str">
        <f>CONCATENATE(IF('ELABORAZIONE ERRORI'!$E$4="R1",'DATI INGRESSO'!I290,IF('ELABORAZIONE ERRORI'!$E$4="R2",'DATI INGRESSO'!I305,IF('ELABORAZIONE ERRORI'!$E$4="R3",'DATI INGRESSO'!I320,IF('ELABORAZIONE ERRORI'!$E$4="R4",'DATI INGRESSO'!I335,IF('ELABORAZIONE ERRORI'!$E$4="R5",'DATI INGRESSO'!I350,IF('ELABORAZIONE ERRORI'!$E$4="R6",'DATI INGRESSO'!I365,"")))))),IF('ELABORAZIONE ERRORI'!$E$4="F1",'DATI INGRESSO'!I387,IF('ELABORAZIONE ERRORI'!$E$4="F2",'DATI INGRESSO'!I402,IF('ELABORAZIONE ERRORI'!$E$4="F3",'DATI INGRESSO'!I417,IF('ELABORAZIONE ERRORI'!$E$4="F4",'DATI INGRESSO'!I432,IF('ELABORAZIONE ERRORI'!$E$4="F5",'DATI INGRESSO'!I447,""))))),IF('ELABORAZIONE ERRORI'!$E$4="F6",'DATI INGRESSO'!I462,IF('ELABORAZIONE ERRORI'!$E$4="F7",'DATI INGRESSO'!I477,IF('ELABORAZIONE ERRORI'!$E$4="F8",'DATI INGRESSO'!I492,IF('ELABORAZIONE ERRORI'!$E$4="F9",'DATI INGRESSO'!I507,IF('ELABORAZIONE ERRORI'!$E$4="F10",'DATI INGRESSO'!I522,IF('ELABORAZIONE ERRORI'!$E$4="F11",'DATI INGRESSO'!I537,"")))))),IF('ELABORAZIONE ERRORI'!$E$4="F12",'DATI INGRESSO'!I555,IF('ELABORAZIONE ERRORI'!$E$4="F13",'DATI INGRESSO'!I570,IF('ELABORAZIONE ERRORI'!$E$4="F14",'DATI INGRESSO'!I585,IF('ELABORAZIONE ERRORI'!$E$4="F15",'DATI INGRESSO'!I600,IF('ELABORAZIONE ERRORI'!$E$4="F16",'DATI INGRESSO'!I615,""))))),IF('ELABORAZIONE ERRORI'!$E$4="F17",'DATI INGRESSO'!I630,IF('ELABORAZIONE ERRORI'!$E$4="F18",'DATI INGRESSO'!I645,IF('ELABORAZIONE ERRORI'!$E$4="F19",'DATI INGRESSO'!I660,IF('ELABORAZIONE ERRORI'!$E$4="F20",'DATI INGRESSO'!I675,IF('ELABORAZIONE ERRORI'!$E$4="F21",'DATI INGRESSO'!I690,IF('ELABORAZIONE ERRORI'!$E$4="F22",'DATI INGRESSO'!I705,"")))))))</f>
        <v/>
      </c>
      <c r="P8" s="12" t="str">
        <f>CONCATENATE(IF('ELABORAZIONE ERRORI'!$E$4="R1",'DATI INGRESSO'!L290,IF('ELABORAZIONE ERRORI'!$E$4="R2",'DATI INGRESSO'!L305,IF('ELABORAZIONE ERRORI'!$E$4="R3",'DATI INGRESSO'!L320,IF('ELABORAZIONE ERRORI'!$E$4="R4",'DATI INGRESSO'!L335,IF('ELABORAZIONE ERRORI'!$E$4="R5",'DATI INGRESSO'!L350,IF('ELABORAZIONE ERRORI'!$E$4="R6",'DATI INGRESSO'!L365,"")))))),IF('ELABORAZIONE ERRORI'!$E$4="F1",'DATI INGRESSO'!L387,IF('ELABORAZIONE ERRORI'!$E$4="F2",'DATI INGRESSO'!L402,IF('ELABORAZIONE ERRORI'!$E$4="F3",'DATI INGRESSO'!L417,IF('ELABORAZIONE ERRORI'!$E$4="F4",'DATI INGRESSO'!L432,IF('ELABORAZIONE ERRORI'!$E$4="F5",'DATI INGRESSO'!L447,""))))),IF('ELABORAZIONE ERRORI'!$E$4="F6",'DATI INGRESSO'!L462,IF('ELABORAZIONE ERRORI'!$E$4="F7",'DATI INGRESSO'!L477,IF('ELABORAZIONE ERRORI'!$E$4="F8",'DATI INGRESSO'!L492,IF('ELABORAZIONE ERRORI'!$E$4="F9",'DATI INGRESSO'!L507,IF('ELABORAZIONE ERRORI'!$E$4="F10",'DATI INGRESSO'!L522,IF('ELABORAZIONE ERRORI'!$E$4="F11",'DATI INGRESSO'!L537,"")))))),IF('ELABORAZIONE ERRORI'!$E$4="F12",'DATI INGRESSO'!L555,IF('ELABORAZIONE ERRORI'!$E$4="F13",'DATI INGRESSO'!L570,IF('ELABORAZIONE ERRORI'!$E$4="F14",'DATI INGRESSO'!L585,IF('ELABORAZIONE ERRORI'!$E$4="F15",'DATI INGRESSO'!L600,IF('ELABORAZIONE ERRORI'!$E$4="F16",'DATI INGRESSO'!L615,""))))),IF('ELABORAZIONE ERRORI'!$E$4="F17",'DATI INGRESSO'!L630,IF('ELABORAZIONE ERRORI'!$E$4="F18",'DATI INGRESSO'!L645,IF('ELABORAZIONE ERRORI'!$E$4="F19",'DATI INGRESSO'!L660,IF('ELABORAZIONE ERRORI'!$E$4="F20",'DATI INGRESSO'!L675,IF('ELABORAZIONE ERRORI'!$E$4="F21",'DATI INGRESSO'!L690,IF('ELABORAZIONE ERRORI'!$E$4="F22",'DATI INGRESSO'!L705,"")))))))</f>
        <v/>
      </c>
    </row>
    <row r="9" spans="1:16" x14ac:dyDescent="0.25">
      <c r="A9" s="1478"/>
      <c r="B9" s="124" t="s">
        <v>27</v>
      </c>
      <c r="C9" s="9" t="s">
        <v>29</v>
      </c>
      <c r="D9" s="9" t="s">
        <v>20</v>
      </c>
      <c r="E9" s="2">
        <f>'VALUT. GLOBALE'!I4</f>
        <v>2.52</v>
      </c>
    </row>
    <row r="10" spans="1:16" x14ac:dyDescent="0.25">
      <c r="A10" s="1478"/>
      <c r="B10" s="124"/>
      <c r="C10" s="17" t="s">
        <v>224</v>
      </c>
      <c r="D10" s="9" t="s">
        <v>20</v>
      </c>
      <c r="E10" s="2">
        <f>'VALUT. GLOBALE'!I3</f>
        <v>2.5099999999999998</v>
      </c>
    </row>
    <row r="11" spans="1:16" x14ac:dyDescent="0.25">
      <c r="A11" s="1478"/>
      <c r="B11" s="124"/>
      <c r="C11" s="17" t="s">
        <v>225</v>
      </c>
      <c r="D11" s="9" t="s">
        <v>20</v>
      </c>
      <c r="E11" s="2">
        <f>'VALUT. GLOBALE'!K3</f>
        <v>2.52</v>
      </c>
    </row>
    <row r="12" spans="1:16" x14ac:dyDescent="0.25">
      <c r="A12" s="1478"/>
      <c r="B12" s="124"/>
      <c r="C12" s="17" t="s">
        <v>226</v>
      </c>
      <c r="D12" s="9" t="s">
        <v>20</v>
      </c>
      <c r="E12" s="2">
        <f>'VALUT. GLOBALE'!M3</f>
        <v>2.5299999999999998</v>
      </c>
    </row>
    <row r="13" spans="1:16" x14ac:dyDescent="0.25">
      <c r="A13" s="1478"/>
      <c r="B13" s="124" t="s">
        <v>28</v>
      </c>
      <c r="C13" s="9" t="s">
        <v>3</v>
      </c>
      <c r="D13" s="9"/>
      <c r="E13" s="2">
        <f>'VALUT. GLOBALE'!O2</f>
        <v>0.94</v>
      </c>
    </row>
    <row r="14" spans="1:16" x14ac:dyDescent="0.25">
      <c r="A14" s="1478"/>
      <c r="B14" s="124" t="s">
        <v>165</v>
      </c>
      <c r="C14" s="9"/>
      <c r="D14" s="9"/>
      <c r="E14" s="12" t="str">
        <f>'VALUT. GLOBALE'!O3</f>
        <v/>
      </c>
    </row>
    <row r="15" spans="1:16" x14ac:dyDescent="0.25">
      <c r="A15" s="1478"/>
      <c r="B15" s="124" t="s">
        <v>382</v>
      </c>
      <c r="C15" s="9" t="s">
        <v>4</v>
      </c>
      <c r="D15" s="9" t="s">
        <v>5</v>
      </c>
      <c r="E15" s="9">
        <f>IF(E14="C",-ACOS(ABS(E13)),IF(OR(E14="L",E14=""),ACOS(ABS(E13))))</f>
        <v>0.34816602127296092</v>
      </c>
    </row>
    <row r="16" spans="1:16" x14ac:dyDescent="0.25">
      <c r="A16" s="1478"/>
      <c r="B16" s="124" t="s">
        <v>384</v>
      </c>
      <c r="C16" s="9" t="s">
        <v>385</v>
      </c>
      <c r="D16" s="9"/>
      <c r="E16" s="9">
        <v>0.5</v>
      </c>
    </row>
    <row r="17" spans="1:5" x14ac:dyDescent="0.25">
      <c r="A17" s="1478"/>
      <c r="B17" s="124" t="s">
        <v>386</v>
      </c>
      <c r="C17" s="9" t="s">
        <v>387</v>
      </c>
      <c r="D17" s="9"/>
      <c r="E17" s="9">
        <v>0.8</v>
      </c>
    </row>
    <row r="18" spans="1:5" x14ac:dyDescent="0.25">
      <c r="A18" s="1478"/>
      <c r="B18" s="124" t="s">
        <v>383</v>
      </c>
      <c r="C18" s="9" t="s">
        <v>4</v>
      </c>
      <c r="D18" s="9" t="s">
        <v>5</v>
      </c>
      <c r="E18" s="9">
        <f>IF(E14="C",IF(COS(E15)&gt;=E17,E15,-ACOS(E17)),IF(OR(E14="L",E14=""),IF(COS(E15)&gt;=E16,E15,ACOS(E16))))</f>
        <v>0.34816602127296092</v>
      </c>
    </row>
    <row r="19" spans="1:5" x14ac:dyDescent="0.25">
      <c r="A19" s="1478"/>
      <c r="B19" s="126" t="s">
        <v>42</v>
      </c>
      <c r="C19" s="2" t="s">
        <v>43</v>
      </c>
      <c r="D19" s="9"/>
      <c r="E19" s="12" t="str">
        <f>IF(OR('ELABORAZIONE ERRORI'!$E$4="R1",'ELABORAZIONE ERRORI'!$E$4="R2",'ELABORAZIONE ERRORI'!$E$4="R3",'ELABORAZIONE ERRORI'!$E$4="R4",'ELABORAZIONE ERRORI'!$E$4="R5",'ELABORAZIONE ERRORI'!$E$4="R6"),'DATI INGRESSO'!H152,IF(OR('ELABORAZIONE ERRORI'!$E$4="F1",'ELABORAZIONE ERRORI'!$E$4="F2",'ELABORAZIONE ERRORI'!$E$4="F3",'ELABORAZIONE ERRORI'!$E$4="F4",'ELABORAZIONE ERRORI'!$E$4="F5",'ELABORAZIONE ERRORI'!$E$4="F6",'ELABORAZIONE ERRORI'!$E$4="F7",'ELABORAZIONE ERRORI'!$E$4="F8",'ELABORAZIONE ERRORI'!$E$4="F9",'ELABORAZIONE ERRORI'!$E$4="F10",'ELABORAZIONE ERRORI'!$E$4="F11",'ELABORAZIONE ERRORI'!$E$4="F12",'ELABORAZIONE ERRORI'!$E$4="F13",'ELABORAZIONE ERRORI'!$E$4="F14",'ELABORAZIONE ERRORI'!$E$4="F15",'ELABORAZIONE ERRORI'!$E$4="F16",'ELABORAZIONE ERRORI'!$E$4="F17",'ELABORAZIONE ERRORI'!$E$4="F18",'ELABORAZIONE ERRORI'!$E$4="F19",'ELABORAZIONE ERRORI'!$E$4="F20",'ELABORAZIONE ERRORI'!$E$4="F21",'ELABORAZIONE ERRORI'!$E$4="F22"),'DATI INGRESSO'!H158))</f>
        <v/>
      </c>
    </row>
    <row r="20" spans="1:5" x14ac:dyDescent="0.25">
      <c r="A20" s="1478"/>
      <c r="B20" s="124"/>
      <c r="C20" s="2" t="s">
        <v>44</v>
      </c>
      <c r="D20" s="9"/>
      <c r="E20" s="12" t="str">
        <f>IF(OR('ELABORAZIONE ERRORI'!$E$4="R1",'ELABORAZIONE ERRORI'!$E$4="R2",'ELABORAZIONE ERRORI'!$E$4="R3",'ELABORAZIONE ERRORI'!$E$4="R4",'ELABORAZIONE ERRORI'!$E$4="R5",'ELABORAZIONE ERRORI'!$E$4="R6"),'DATI INGRESSO'!H155,IF(OR('ELABORAZIONE ERRORI'!$E$4="F1",'ELABORAZIONE ERRORI'!$E$4="F2",'ELABORAZIONE ERRORI'!$E$4="F3",'ELABORAZIONE ERRORI'!$E$4="F4",'ELABORAZIONE ERRORI'!$E$4="F5",'ELABORAZIONE ERRORI'!$E$4="F6",'ELABORAZIONE ERRORI'!$E$4="F7",'ELABORAZIONE ERRORI'!$E$4="F8",'ELABORAZIONE ERRORI'!$E$4="F9",'ELABORAZIONE ERRORI'!$E$4="F10",'ELABORAZIONE ERRORI'!$E$4="F11",'ELABORAZIONE ERRORI'!$E$4="F12",'ELABORAZIONE ERRORI'!$E$4="F13",'ELABORAZIONE ERRORI'!$E$4="F14",'ELABORAZIONE ERRORI'!$E$4="F15",'ELABORAZIONE ERRORI'!$E$4="F16",'ELABORAZIONE ERRORI'!$E$4="F17",'ELABORAZIONE ERRORI'!$E$4="F18",'ELABORAZIONE ERRORI'!$E$4="F19",'ELABORAZIONE ERRORI'!$E$4="F20",'ELABORAZIONE ERRORI'!$E$4="F21",'ELABORAZIONE ERRORI'!$E$4="F22"),'DATI INGRESSO'!H161))</f>
        <v>X</v>
      </c>
    </row>
    <row r="21" spans="1:5" x14ac:dyDescent="0.25">
      <c r="A21" s="1478"/>
      <c r="B21" s="126" t="s">
        <v>287</v>
      </c>
      <c r="C21" s="2" t="s">
        <v>288</v>
      </c>
      <c r="D21" s="9"/>
      <c r="E21" s="12" t="str">
        <f>'DATI INGRESSO'!H180</f>
        <v>X</v>
      </c>
    </row>
    <row r="22" spans="1:5" x14ac:dyDescent="0.25">
      <c r="A22" s="1478"/>
      <c r="B22" s="124"/>
      <c r="C22" s="2" t="s">
        <v>300</v>
      </c>
      <c r="D22" s="9"/>
      <c r="E22" s="12" t="str">
        <f>'DATI INGRESSO'!H183</f>
        <v/>
      </c>
    </row>
    <row r="23" spans="1:5" x14ac:dyDescent="0.25">
      <c r="A23" s="1478"/>
      <c r="C23" s="2" t="s">
        <v>719</v>
      </c>
      <c r="D23" s="9"/>
      <c r="E23" s="12" t="str">
        <f>'DATI INGRESSO'!H186</f>
        <v/>
      </c>
    </row>
    <row r="24" spans="1:5" x14ac:dyDescent="0.25">
      <c r="A24" s="1478"/>
      <c r="B24" s="1788" t="s">
        <v>289</v>
      </c>
      <c r="C24" s="2" t="s">
        <v>282</v>
      </c>
      <c r="D24" s="9"/>
      <c r="E24" s="12" t="str">
        <f>'VALUT. GLOBALE'!I8</f>
        <v>X</v>
      </c>
    </row>
    <row r="25" spans="1:5" x14ac:dyDescent="0.25">
      <c r="A25" s="1478"/>
      <c r="B25" s="1788"/>
      <c r="C25" s="2" t="s">
        <v>290</v>
      </c>
      <c r="D25" s="9"/>
      <c r="E25" s="12" t="str">
        <f>'VALUT. GLOBALE'!K8</f>
        <v/>
      </c>
    </row>
    <row r="26" spans="1:5" x14ac:dyDescent="0.25">
      <c r="A26" s="1478"/>
      <c r="B26" s="1788"/>
      <c r="C26" s="2" t="s">
        <v>291</v>
      </c>
      <c r="D26" s="9"/>
      <c r="E26" s="12" t="str">
        <f>'VALUT. GLOBALE'!M8</f>
        <v/>
      </c>
    </row>
    <row r="27" spans="1:5" x14ac:dyDescent="0.25">
      <c r="A27" s="1478"/>
      <c r="B27" s="1788"/>
      <c r="C27" s="2" t="s">
        <v>292</v>
      </c>
      <c r="D27" s="9"/>
      <c r="E27" s="12" t="str">
        <f>'VALUT. GLOBALE'!O8</f>
        <v/>
      </c>
    </row>
    <row r="28" spans="1:5" x14ac:dyDescent="0.25">
      <c r="A28" s="1478"/>
      <c r="B28" s="126" t="s">
        <v>186</v>
      </c>
      <c r="C28" s="2" t="s">
        <v>187</v>
      </c>
      <c r="D28" s="9"/>
      <c r="E28" s="12">
        <f>'DATI INGRESSO'!H171</f>
        <v>17.600000000000001</v>
      </c>
    </row>
    <row r="29" spans="1:5" x14ac:dyDescent="0.25">
      <c r="A29" s="1478"/>
      <c r="B29" s="126" t="s">
        <v>594</v>
      </c>
      <c r="C29" s="2" t="s">
        <v>1</v>
      </c>
      <c r="D29" s="9"/>
      <c r="E29" s="127">
        <v>0.5</v>
      </c>
    </row>
    <row r="30" spans="1:5" x14ac:dyDescent="0.25">
      <c r="A30" s="14"/>
      <c r="B30" s="5"/>
      <c r="C30" s="5"/>
      <c r="D30" s="7"/>
      <c r="E30" s="128"/>
    </row>
    <row r="31" spans="1:5" x14ac:dyDescent="0.25">
      <c r="E31" s="5"/>
    </row>
    <row r="32" spans="1:5" ht="18" x14ac:dyDescent="0.35">
      <c r="A32" s="1347" t="s">
        <v>8</v>
      </c>
      <c r="B32" s="9" t="s">
        <v>19</v>
      </c>
      <c r="C32" s="9" t="s">
        <v>30</v>
      </c>
      <c r="D32" s="9" t="s">
        <v>20</v>
      </c>
      <c r="E32" s="12">
        <f>'DATI INGRESSO'!H192</f>
        <v>5</v>
      </c>
    </row>
    <row r="33" spans="1:8" ht="18" x14ac:dyDescent="0.35">
      <c r="A33" s="1348"/>
      <c r="B33" s="9" t="s">
        <v>25</v>
      </c>
      <c r="C33" s="9" t="s">
        <v>31</v>
      </c>
      <c r="D33" s="9" t="s">
        <v>20</v>
      </c>
      <c r="E33" s="12">
        <f>'DATI INGRESSO'!H193</f>
        <v>0.05</v>
      </c>
    </row>
    <row r="34" spans="1:8" ht="18" x14ac:dyDescent="0.35">
      <c r="A34" s="1348"/>
      <c r="B34" s="9" t="s">
        <v>24</v>
      </c>
      <c r="C34" s="9" t="s">
        <v>32</v>
      </c>
      <c r="D34" s="9" t="s">
        <v>20</v>
      </c>
      <c r="E34" s="12">
        <f>IF(E6="X",E32/10,IF(E7="X",E32/20))</f>
        <v>0.25</v>
      </c>
    </row>
    <row r="35" spans="1:8" x14ac:dyDescent="0.25">
      <c r="A35" s="1348"/>
      <c r="B35" s="9" t="s">
        <v>26</v>
      </c>
      <c r="C35" s="9"/>
      <c r="D35" s="9"/>
      <c r="E35" s="12" t="str">
        <f>'DATI INGRESSO'!H189</f>
        <v>C</v>
      </c>
    </row>
    <row r="36" spans="1:8" x14ac:dyDescent="0.25">
      <c r="A36" s="1348"/>
      <c r="B36" s="9" t="s">
        <v>65</v>
      </c>
      <c r="C36" s="9" t="s">
        <v>6</v>
      </c>
      <c r="D36" s="9" t="s">
        <v>1</v>
      </c>
      <c r="E36" s="129">
        <f>IF('DATI INGRESSO'!$D$17="X",ROUND('INTERP ERRORI MAX CONTAT'!G5,'DATI INGRESSO'!H164+2)*(1+'VALUT. GLOBALE'!$E$29),ROUND('INTERP ERRORI MAX CONTAT'!G5,'DATI INGRESSO'!H164+2))</f>
        <v>1.0500000000000001E-2</v>
      </c>
      <c r="G36" s="130"/>
      <c r="H36" s="130"/>
    </row>
    <row r="37" spans="1:8" ht="18" x14ac:dyDescent="0.35">
      <c r="A37" s="1348"/>
      <c r="B37" s="9" t="s">
        <v>34</v>
      </c>
      <c r="C37" s="9"/>
      <c r="D37" s="9"/>
      <c r="E37" s="13" t="str">
        <f>'VALUT. GLOBALE'!K5</f>
        <v>NO</v>
      </c>
    </row>
    <row r="38" spans="1:8" ht="18" x14ac:dyDescent="0.35">
      <c r="A38" s="1349"/>
      <c r="B38" s="9" t="s">
        <v>40</v>
      </c>
      <c r="C38" s="9"/>
      <c r="D38" s="9"/>
      <c r="E38" s="13" t="str">
        <f>'VALUT. GLOBALE'!K6</f>
        <v>NON SERVE</v>
      </c>
    </row>
    <row r="39" spans="1:8" x14ac:dyDescent="0.25">
      <c r="A39" s="29"/>
      <c r="B39" s="7"/>
      <c r="C39" s="7"/>
      <c r="D39" s="7"/>
      <c r="E39" s="31"/>
    </row>
    <row r="40" spans="1:8" x14ac:dyDescent="0.25">
      <c r="A40" s="1363" t="s">
        <v>9</v>
      </c>
      <c r="B40" s="9" t="s">
        <v>213</v>
      </c>
      <c r="C40" s="9"/>
      <c r="D40" s="9"/>
      <c r="E40" s="13" t="str">
        <f>'DATI INGRESSO'!O141</f>
        <v>X</v>
      </c>
    </row>
    <row r="41" spans="1:8" x14ac:dyDescent="0.25">
      <c r="A41" s="1363"/>
      <c r="B41" s="1347" t="s">
        <v>303</v>
      </c>
      <c r="C41" s="9"/>
      <c r="D41" s="9">
        <v>1</v>
      </c>
      <c r="E41" s="13">
        <f>'DATI INGRESSO'!O142</f>
        <v>0</v>
      </c>
    </row>
    <row r="42" spans="1:8" x14ac:dyDescent="0.25">
      <c r="A42" s="1363"/>
      <c r="B42" s="1348"/>
      <c r="C42" s="9"/>
      <c r="D42" s="9">
        <v>2</v>
      </c>
      <c r="E42" s="13">
        <f>'DATI INGRESSO'!O143</f>
        <v>0</v>
      </c>
    </row>
    <row r="43" spans="1:8" x14ac:dyDescent="0.25">
      <c r="A43" s="1363"/>
      <c r="B43" s="1349"/>
      <c r="C43" s="9"/>
      <c r="D43" s="9">
        <v>3</v>
      </c>
      <c r="E43" s="13" t="str">
        <f>'DATI INGRESSO'!O144</f>
        <v>X</v>
      </c>
    </row>
    <row r="44" spans="1:8" x14ac:dyDescent="0.25">
      <c r="A44" s="1363"/>
      <c r="B44" s="9" t="s">
        <v>26</v>
      </c>
      <c r="C44" s="9"/>
      <c r="D44" s="9"/>
      <c r="E44" s="12" t="str">
        <f>IF('DATI INGRESSO'!O141="X",'DATI INGRESSO'!O146,"-")</f>
        <v>0,5S</v>
      </c>
    </row>
    <row r="45" spans="1:8" x14ac:dyDescent="0.25">
      <c r="A45" s="1363"/>
      <c r="B45" s="2" t="s">
        <v>36</v>
      </c>
      <c r="C45" s="9"/>
      <c r="D45" s="9" t="s">
        <v>1</v>
      </c>
      <c r="E45" s="131">
        <f>IF('DATI INGRESSO'!O141="X",'INTERP ERRORI MAX TA'!E4,0)</f>
        <v>5.0000000000000001E-3</v>
      </c>
    </row>
    <row r="46" spans="1:8" x14ac:dyDescent="0.25">
      <c r="A46" s="1363"/>
      <c r="B46" s="2" t="s">
        <v>37</v>
      </c>
      <c r="C46" s="9"/>
      <c r="D46" s="9" t="s">
        <v>2</v>
      </c>
      <c r="E46" s="12">
        <f>IF('DATI INGRESSO'!O141="X",'INTERP ERRORI MAX TA'!F4,0)</f>
        <v>0.9</v>
      </c>
    </row>
    <row r="47" spans="1:8" x14ac:dyDescent="0.25">
      <c r="A47" s="1363"/>
      <c r="B47" s="9"/>
      <c r="C47" s="9"/>
      <c r="D47" s="9" t="s">
        <v>5</v>
      </c>
      <c r="E47" s="13">
        <f>E46/100</f>
        <v>9.0000000000000011E-3</v>
      </c>
    </row>
    <row r="48" spans="1:8" x14ac:dyDescent="0.25">
      <c r="A48" s="1363"/>
      <c r="B48" s="132" t="s">
        <v>239</v>
      </c>
      <c r="C48" s="133"/>
      <c r="D48" s="9" t="s">
        <v>1</v>
      </c>
      <c r="E48" s="134">
        <f>'VALUT. GLOBALE'!I7</f>
        <v>0.504</v>
      </c>
    </row>
    <row r="49" spans="1:8" x14ac:dyDescent="0.25">
      <c r="A49" s="29"/>
      <c r="B49" s="5"/>
      <c r="C49" s="7"/>
      <c r="D49" s="7"/>
      <c r="E49" s="135"/>
    </row>
    <row r="50" spans="1:8" x14ac:dyDescent="0.25">
      <c r="A50" s="1363" t="s">
        <v>10</v>
      </c>
      <c r="B50" s="9" t="s">
        <v>214</v>
      </c>
      <c r="C50" s="9"/>
      <c r="D50" s="9"/>
      <c r="E50" s="13" t="str">
        <f>'DATI INGRESSO'!O159</f>
        <v>X</v>
      </c>
    </row>
    <row r="51" spans="1:8" x14ac:dyDescent="0.25">
      <c r="A51" s="1363"/>
      <c r="B51" s="1347" t="s">
        <v>304</v>
      </c>
      <c r="D51" s="9">
        <v>1</v>
      </c>
      <c r="E51" s="13">
        <f>'DATI INGRESSO'!O160</f>
        <v>0</v>
      </c>
    </row>
    <row r="52" spans="1:8" x14ac:dyDescent="0.25">
      <c r="A52" s="1363"/>
      <c r="B52" s="1348"/>
      <c r="C52" s="9"/>
      <c r="D52" s="9">
        <v>2</v>
      </c>
      <c r="E52" s="13">
        <f>'DATI INGRESSO'!O161</f>
        <v>0</v>
      </c>
    </row>
    <row r="53" spans="1:8" x14ac:dyDescent="0.25">
      <c r="A53" s="1363"/>
      <c r="B53" s="1349"/>
      <c r="C53" s="9"/>
      <c r="D53" s="9">
        <v>3</v>
      </c>
      <c r="E53" s="13" t="str">
        <f>'DATI INGRESSO'!O162</f>
        <v>X</v>
      </c>
    </row>
    <row r="54" spans="1:8" x14ac:dyDescent="0.25">
      <c r="A54" s="1363"/>
      <c r="B54" s="9" t="s">
        <v>26</v>
      </c>
      <c r="C54" s="9"/>
      <c r="D54" s="9"/>
      <c r="E54" s="12" t="str">
        <f>IF('DATI INGRESSO'!O159="X",'DATI INGRESSO'!O164,"-")</f>
        <v>0,2</v>
      </c>
    </row>
    <row r="55" spans="1:8" x14ac:dyDescent="0.25">
      <c r="A55" s="1363"/>
      <c r="B55" s="2" t="s">
        <v>36</v>
      </c>
      <c r="C55" s="9"/>
      <c r="D55" s="9" t="s">
        <v>1</v>
      </c>
      <c r="E55" s="136">
        <f>IF('DATI INGRESSO'!O159="X",'INTERP ERRORI MAX TV'!E4,0)</f>
        <v>2E-3</v>
      </c>
    </row>
    <row r="56" spans="1:8" x14ac:dyDescent="0.25">
      <c r="A56" s="1363"/>
      <c r="B56" s="2" t="s">
        <v>37</v>
      </c>
      <c r="C56" s="9"/>
      <c r="D56" s="9" t="s">
        <v>2</v>
      </c>
      <c r="E56" s="12">
        <f>IF('DATI INGRESSO'!O159="X",'INTERP ERRORI MAX TV'!F4,0)</f>
        <v>0.3</v>
      </c>
    </row>
    <row r="57" spans="1:8" x14ac:dyDescent="0.25">
      <c r="A57" s="1363"/>
      <c r="B57" s="9"/>
      <c r="C57" s="9"/>
      <c r="D57" s="9" t="s">
        <v>5</v>
      </c>
      <c r="E57" s="13">
        <f>E56/100</f>
        <v>3.0000000000000001E-3</v>
      </c>
    </row>
    <row r="58" spans="1:8" x14ac:dyDescent="0.25">
      <c r="A58" s="1363"/>
      <c r="B58" s="132" t="s">
        <v>239</v>
      </c>
      <c r="C58" s="133"/>
      <c r="D58" s="9" t="s">
        <v>1</v>
      </c>
      <c r="E58" s="134">
        <f>'VALUT. GLOBALE'!L7</f>
        <v>0.57700000000000007</v>
      </c>
    </row>
    <row r="59" spans="1:8" x14ac:dyDescent="0.25">
      <c r="A59" s="29"/>
      <c r="B59" s="2" t="s">
        <v>231</v>
      </c>
      <c r="C59" s="9"/>
      <c r="D59" s="9"/>
      <c r="E59" s="13" t="str">
        <f>'DATI INGRESSO'!O181</f>
        <v>X</v>
      </c>
    </row>
    <row r="61" spans="1:8" x14ac:dyDescent="0.25">
      <c r="A61" s="1789" t="s">
        <v>39</v>
      </c>
      <c r="B61" s="9" t="s">
        <v>66</v>
      </c>
      <c r="C61" s="9" t="s">
        <v>38</v>
      </c>
      <c r="D61" s="9" t="s">
        <v>1</v>
      </c>
      <c r="E61" s="137">
        <f>IF('DATI INGRESSO'!$D$17="X",ROUND(SQRT(E45^2+(TAN(E18)*SIN(E47))^2+E55^2+(TAN(E18)*SIN(E57))^2),'DATI INGRESSO'!H164+2)*(1+'VALUT. GLOBALE'!$E$29),ROUND(SQRT(E45^2+(TAN(E18)*SIN(E47))^2+E55^2+(TAN(E18)*SIN(E57))^2),'DATI INGRESSO'!H164+2))</f>
        <v>9.5849999999999998E-3</v>
      </c>
      <c r="H61" s="130"/>
    </row>
    <row r="62" spans="1:8" x14ac:dyDescent="0.25">
      <c r="A62" s="1790"/>
      <c r="B62" s="9"/>
      <c r="C62" s="9"/>
      <c r="D62" s="9"/>
      <c r="E62" s="13"/>
    </row>
    <row r="63" spans="1:8" x14ac:dyDescent="0.25">
      <c r="A63" s="1791"/>
      <c r="B63" s="9" t="s">
        <v>67</v>
      </c>
      <c r="C63" s="9" t="s">
        <v>7</v>
      </c>
      <c r="D63" s="9" t="s">
        <v>1</v>
      </c>
      <c r="E63" s="137">
        <f>ROUND(SQRT(E36^2+E61^2),'DATI INGRESSO'!H164+2)</f>
        <v>1.422E-2</v>
      </c>
      <c r="H63" s="130"/>
    </row>
    <row r="64" spans="1:8" x14ac:dyDescent="0.25">
      <c r="E64" s="38"/>
    </row>
    <row r="65" spans="1:16" ht="18" x14ac:dyDescent="0.35">
      <c r="A65" s="138"/>
      <c r="B65" s="9" t="s">
        <v>193</v>
      </c>
      <c r="C65" s="9" t="s">
        <v>192</v>
      </c>
      <c r="D65" s="9" t="s">
        <v>1</v>
      </c>
      <c r="E65" s="139">
        <f>'VALUT. GLOBALE'!O6</f>
        <v>-1.1000000000000001E-3</v>
      </c>
    </row>
    <row r="67" spans="1:16" x14ac:dyDescent="0.25">
      <c r="A67" s="1478" t="s">
        <v>41</v>
      </c>
      <c r="B67" s="9" t="s">
        <v>45</v>
      </c>
      <c r="C67" s="9"/>
      <c r="D67" s="9"/>
      <c r="E67" s="2" t="str">
        <f>IF(E19="X",IF(ABS(E65)&lt;=E63,"POSITIVO","NEGATIVO"),"NON ESEGUITA")</f>
        <v>NON ESEGUITA</v>
      </c>
    </row>
    <row r="68" spans="1:16" x14ac:dyDescent="0.25">
      <c r="A68" s="1478"/>
      <c r="B68" s="9" t="s">
        <v>63</v>
      </c>
      <c r="C68" s="9"/>
      <c r="D68" s="9"/>
      <c r="E68" s="104" t="str">
        <f>IF(AND(E20="X",E8&lt;&gt;"X"),IF(ABS(E65)&lt;=E36,"POSITIVO","NEGATIVO"),"NON ESEGUITA")</f>
        <v>NON ESEGUITA</v>
      </c>
      <c r="O68" s="30"/>
    </row>
    <row r="69" spans="1:16" ht="15" customHeight="1" x14ac:dyDescent="0.25">
      <c r="A69" s="1478"/>
      <c r="B69" s="1789" t="s">
        <v>62</v>
      </c>
      <c r="C69" s="140" t="s">
        <v>736</v>
      </c>
      <c r="D69" s="9"/>
      <c r="E69" s="107" t="str">
        <f>IF(AND(E20="X",E8="X",I1="FITTIZIO"),IF(ABS(E75)&lt;=E63,"POSITIVO","NEGATIVO"),"NON ESEGUITA")</f>
        <v>NON ESEGUITA</v>
      </c>
    </row>
    <row r="70" spans="1:16" ht="15" customHeight="1" x14ac:dyDescent="0.25">
      <c r="A70" s="1478"/>
      <c r="B70" s="1790"/>
      <c r="C70" s="140" t="s">
        <v>737</v>
      </c>
      <c r="D70" s="9"/>
      <c r="E70" s="107" t="str">
        <f>IF(AND(E20="X",E8="X",I1="REALE"),IF(ABS(E65)&lt;=E36,"POSITIVO","NEGATIVO"),"NON ESEGUITA")</f>
        <v>POSITIVO</v>
      </c>
      <c r="G70" s="1371" t="s">
        <v>305</v>
      </c>
      <c r="H70" s="1371"/>
      <c r="I70" s="1371"/>
      <c r="J70" s="1371"/>
      <c r="L70" s="1786" t="s">
        <v>306</v>
      </c>
      <c r="M70" s="1787"/>
      <c r="N70" s="1582"/>
      <c r="P70" s="9" t="s">
        <v>722</v>
      </c>
    </row>
    <row r="71" spans="1:16" x14ac:dyDescent="0.25">
      <c r="A71" s="1478"/>
      <c r="B71" s="1790"/>
      <c r="C71" s="124" t="s">
        <v>194</v>
      </c>
      <c r="D71" s="9" t="s">
        <v>1</v>
      </c>
      <c r="E71" s="28">
        <f>IF(E8="X",E65,"NON ESEGUITA")</f>
        <v>-1.1000000000000001E-3</v>
      </c>
      <c r="G71" s="9" t="s">
        <v>282</v>
      </c>
      <c r="H71" s="9" t="s">
        <v>283</v>
      </c>
      <c r="I71" s="9" t="s">
        <v>284</v>
      </c>
      <c r="J71" s="9" t="s">
        <v>285</v>
      </c>
      <c r="L71" s="141" t="s">
        <v>282</v>
      </c>
      <c r="M71" s="141" t="s">
        <v>283</v>
      </c>
      <c r="N71" s="141" t="s">
        <v>285</v>
      </c>
      <c r="P71" s="9" t="s">
        <v>283</v>
      </c>
    </row>
    <row r="72" spans="1:16" x14ac:dyDescent="0.25">
      <c r="A72" s="1478"/>
      <c r="B72" s="1790"/>
      <c r="C72" s="124" t="s">
        <v>196</v>
      </c>
      <c r="D72" s="9" t="s">
        <v>1</v>
      </c>
      <c r="E72" s="28">
        <f ca="1">IF(AND($E$8="X",$E$40="X"),IF(E43="X",IF($E$24="X",ROUND(G72,'DATI INGRESSO'!$H$164+2),IF($E$25="X",ROUND(H72,'DATI INGRESSO'!$H$164+2),IF($E$26="X",ROUND(I72,'DATI INGRESSO'!$H$164+2),IF($E$27="X",ROUND(J72,'DATI INGRESSO'!$H$164+2),0)))),IF(E42="X",IF($E$24="X",ROUND(L72,'DATI INGRESSO'!$H$164+2),IF($E$25="X",ROUND(M72,'DATI INGRESSO'!$H$164+2),IF($E$26="X","ERRORE",IF($E$27="X",ROUND(N72,'DATI INGRESSO'!$H$164+2),0)))),IF(E41="X",ROUND(P72,'DATI INGRESSO'!$H$164+2),0))))</f>
        <v>4.4999999999999999E-4</v>
      </c>
      <c r="G72" s="142">
        <f ca="1">IF(AND(E8="X",E40="X"),ROUND((('dati_TRASF AMPEROMETRICI'!D25+'dati_TRASF AMPEROMETRICI'!D47+'dati_TRASF AMPEROMETRICI'!D69)/3+(('dati_TRASF AMPEROMETRICI'!E25+'dati_TRASF AMPEROMETRICI'!E47+'dati_TRASF AMPEROMETRICI'!E69)/3*TAN(E15))/100),'DATI INGRESSO'!H164+2),0)</f>
        <v>4.4999999999999999E-4</v>
      </c>
      <c r="H72" s="142">
        <f ca="1">IF(AND(E8="X",E40="X"),ROUND((('dati_TRASF AMPEROMETRICI'!D25)+(('dati_TRASF AMPEROMETRICI'!E25)*TAN(E15))/100),'DATI INGRESSO'!H164+2),0)</f>
        <v>4.4999999999999999E-4</v>
      </c>
      <c r="I72" s="142">
        <f ca="1">IF(AND(E8="X",E40="X"),ROUND((('dati_TRASF AMPEROMETRICI'!D47)+(('dati_TRASF AMPEROMETRICI'!E47)*TAN(E15))/100),'DATI INGRESSO'!H164+2),0)</f>
        <v>4.4999999999999999E-4</v>
      </c>
      <c r="J72" s="142">
        <f ca="1">IF(AND(E8="X",E40="X"),ROUND((('dati_TRASF AMPEROMETRICI'!D69)+(('dati_TRASF AMPEROMETRICI'!E69)*TAN(E15))/100),'DATI INGRESSO'!H164+2),0)</f>
        <v>4.4999999999999999E-4</v>
      </c>
      <c r="L72" s="142">
        <f ca="1">IF(AND(E8="X",E40="X"),ROUND((('dati_TRASF AMPEROMETRICI'!D25+'dati_TRASF AMPEROMETRICI'!D69)/2-('dati_TRASF AMPEROMETRICI'!E25-'dati_TRASF AMPEROMETRICI'!E69)/(200*SQRT(3)))+((('dati_TRASF AMPEROMETRICI'!E25+'dati_TRASF AMPEROMETRICI'!E69)/200+('dati_TRASF AMPEROMETRICI'!D25-'dati_TRASF AMPEROMETRICI'!D69)/(2*SQRT(3)))*TAN(E15)),'DATI INGRESSO'!H164+2),0)</f>
        <v>4.4999999999999999E-4</v>
      </c>
      <c r="M72" s="142">
        <f ca="1">IF(AND(E8="X",E40="X"),ROUND(('dati_TRASF AMPEROMETRICI'!D25)+(('dati_TRASF AMPEROMETRICI'!E25)/100)*TAN(E15),'DATI INGRESSO'!H164+2),0)</f>
        <v>4.4999999999999999E-4</v>
      </c>
      <c r="N72" s="142">
        <f ca="1">IF(AND(E8="X",E40="X"),ROUND(('dati_TRASF AMPEROMETRICI'!D69)+(('dati_TRASF AMPEROMETRICI'!E69)/100)*TAN(E15),'DATI INGRESSO'!H164+2),0)</f>
        <v>4.4999999999999999E-4</v>
      </c>
      <c r="P72" s="143">
        <f ca="1">IF(AND(E8="X",E40="X"),ROUND((('dati_TRASF AMPEROMETRICI'!D25)+(('dati_TRASF AMPEROMETRICI'!E25)*TAN(E15))/100),'DATI INGRESSO'!H164+2),0)</f>
        <v>4.4999999999999999E-4</v>
      </c>
    </row>
    <row r="73" spans="1:16" x14ac:dyDescent="0.25">
      <c r="A73" s="1478"/>
      <c r="B73" s="1790"/>
      <c r="C73" s="124" t="s">
        <v>197</v>
      </c>
      <c r="D73" s="9" t="s">
        <v>1</v>
      </c>
      <c r="E73" s="28">
        <f ca="1">IF(AND($E$8="X",$E$50="X"),IF(E53="X",IF($E$24="X",ROUND(G73,'DATI INGRESSO'!$H$164+2),IF($E$25="X",ROUND(H73,'DATI INGRESSO'!$H$164+2),IF($E$26="X",ROUND(I73,'DATI INGRESSO'!$H$164+2),IF($E$27="X",ROUND(J73,'DATI INGRESSO'!$H$164+2),0)))),IF(E52="X",IF($E$24="X",ROUND(L73,'DATI INGRESSO'!$H$164+2),IF($E$25="X",ROUND(M73,'DATI INGRESSO'!$H$164+2),IF($E$26="X","ERRORE",IF($E$27="X",ROUND(N73,'DATI INGRESSO'!$H$164+2),0)))),IF(E51="X",ROUND(P73,'DATI INGRESSO'!$H$164+2),0))))</f>
        <v>5.2999999999999998E-4</v>
      </c>
      <c r="G73" s="142">
        <f ca="1">IF(AND(E8="X",E50="X"),ROUND((('dati_TRASF VOLTMETRICI'!D25+'dati_TRASF VOLTMETRICI'!D47+'dati_TRASF VOLTMETRICI'!D69)/3-(('dati_TRASF VOLTMETRICI'!E25+'dati_TRASF VOLTMETRICI'!E47+'dati_TRASF VOLTMETRICI'!E69)/3*TAN(E15)/100)),'DATI INGRESSO'!H164+2),0)</f>
        <v>5.2999999999999998E-4</v>
      </c>
      <c r="H73" s="142">
        <f ca="1">IF(AND(E8="X",E50="X"),ROUND((('dati_TRASF VOLTMETRICI'!D25)-(('dati_TRASF VOLTMETRICI'!E25)*TAN(E15)/100)),'DATI INGRESSO'!H164+2),0)</f>
        <v>5.2999999999999998E-4</v>
      </c>
      <c r="I73" s="142">
        <f ca="1">IF(AND(E8="X",E50="X"),ROUND((('dati_TRASF VOLTMETRICI'!D47)-(('dati_TRASF VOLTMETRICI'!E47)*TAN(E15)/100)),'DATI INGRESSO'!H164+2),0)</f>
        <v>5.2999999999999998E-4</v>
      </c>
      <c r="J73" s="142">
        <f ca="1">IF(AND(E8="X",E50="X"),ROUND((('dati_TRASF VOLTMETRICI'!D69)-(('dati_TRASF VOLTMETRICI'!E69)*TAN(E15)/100)),'DATI INGRESSO'!H164+2),0)</f>
        <v>5.2999999999999998E-4</v>
      </c>
      <c r="L73" s="142">
        <f ca="1">IF(AND(E8="X",E50="X"),ROUND((('dati_TRASF VOLTMETRICI'!D25+'dati_TRASF VOLTMETRICI'!D69)/2+('dati_TRASF VOLTMETRICI'!E25-'dati_TRASF VOLTMETRICI'!E69)/(200*SQRT(3)))-((('dati_TRASF VOLTMETRICI'!E25+'dati_TRASF VOLTMETRICI'!E69)/200-('dati_TRASF VOLTMETRICI'!D25-'dati_TRASF VOLTMETRICI'!D69)/(2*SQRT(3)))*TAN(E15)),'DATI INGRESSO'!H164+2),0)</f>
        <v>5.2999999999999998E-4</v>
      </c>
      <c r="M73" s="142">
        <f ca="1">IF(AND(E8="X",E50="X"),ROUND(('dati_TRASF VOLTMETRICI'!D25)-(('dati_TRASF VOLTMETRICI'!E25)/100)*TAN(E15),'DATI INGRESSO'!H164+2),0)</f>
        <v>5.2999999999999998E-4</v>
      </c>
      <c r="N73" s="142">
        <f ca="1">IF(AND(E8="X",E50="X"),ROUND(('dati_TRASF VOLTMETRICI'!D69)-(('dati_TRASF VOLTMETRICI'!E69)/100)*TAN(E15),'DATI INGRESSO'!H164+2),0)</f>
        <v>5.2999999999999998E-4</v>
      </c>
      <c r="P73" s="143">
        <f ca="1">IF(AND(E8="X",E50="X"),ROUND((('dati_TRASF VOLTMETRICI'!D25)-(('dati_TRASF VOLTMETRICI'!E25)*TAN(E15)/100)),'DATI INGRESSO'!H164+2),0)</f>
        <v>5.2999999999999998E-4</v>
      </c>
    </row>
    <row r="74" spans="1:16" x14ac:dyDescent="0.25">
      <c r="A74" s="1478"/>
      <c r="B74" s="1790"/>
      <c r="C74" s="124" t="s">
        <v>195</v>
      </c>
      <c r="D74" s="9" t="s">
        <v>1</v>
      </c>
      <c r="E74" s="144">
        <f>IF(AND($E$8="X",$E$50="X"),IF(E53="X",IF($E$24="X",ROUND(G74,'DATI INGRESSO'!$H$164+2),IF($E$25="X",ROUND(H74,'DATI INGRESSO'!$H$164+2),IF($E$26="X",ROUND(I74,'DATI INGRESSO'!$H$164+2),IF($E$27="X",ROUND(J74,'DATI INGRESSO'!$H$164+2),0)))),IF(E52="X",IF($E$24="X",ROUND(L74,'DATI INGRESSO'!$H$164+2),IF($E$25="X",ROUND(M74,'DATI INGRESSO'!$H$164+2),IF($E$26="X","ERRORE",IF($E$27="X",ROUND(N74,'DATI INGRESSO'!$H$164+2),0)))),IF(E51="X",ROUND(P74,'DATI INGRESSO'!$H$164+2),0))))</f>
        <v>0</v>
      </c>
      <c r="G74" s="142">
        <f>IF(AND(E8="X",E50="X"),IF(E59&lt;&gt;"X",ROUND((('dati_CONNESSIONI VOLTMETRICHE'!G10+'dati_CONNESSIONI VOLTMETRICHE'!G23+'dati_CONNESSIONI VOLTMETRICHE'!G36)/3-(('dati_CONNESSIONI VOLTMETRICHE'!H10+'dati_CONNESSIONI VOLTMETRICHE'!H23+'dati_CONNESSIONI VOLTMETRICHE'!H36)/3*TAN(E15)/100)),'DATI INGRESSO'!H164+2),0),0)</f>
        <v>0</v>
      </c>
      <c r="H74" s="142">
        <f>IF(AND(E8="X",E50="X"),IF(E59&lt;&gt;"X",ROUND((('dati_CONNESSIONI VOLTMETRICHE'!G10)-(('dati_CONNESSIONI VOLTMETRICHE'!H10)*TAN(E15)/100)),'DATI INGRESSO'!H164+2),0),0)</f>
        <v>0</v>
      </c>
      <c r="I74" s="142">
        <f>IF(AND(E8="X",E50="X"),IF(E59&lt;&gt;"X",ROUND((('dati_CONNESSIONI VOLTMETRICHE'!G23)-(('dati_CONNESSIONI VOLTMETRICHE'!H23)*TAN(E15)/100)),'DATI INGRESSO'!H164+2),0),0)</f>
        <v>0</v>
      </c>
      <c r="J74" s="142">
        <f>IF(AND(E8="X",E50="X"),IF(E59&lt;&gt;"X",ROUND((('dati_CONNESSIONI VOLTMETRICHE'!G36)-(('dati_CONNESSIONI VOLTMETRICHE'!H36)*TAN(E15)/100)),'DATI INGRESSO'!H164+2),0),0)</f>
        <v>0</v>
      </c>
      <c r="L74" s="142">
        <f>IF(AND(E8="X",E50="X"),IF(E59&lt;&gt;"X",(ROUND((('dati_CONNESSIONI VOLTMETRICHE'!G10+'dati_CONNESSIONI VOLTMETRICHE'!G36)/2+('dati_CONNESSIONI VOLTMETRICHE'!H10-'dati_CONNESSIONI VOLTMETRICHE'!H36)/(200*SQRT(3)))-((('dati_CONNESSIONI VOLTMETRICHE'!H10+'dati_CONNESSIONI VOLTMETRICHE'!H36)/200-('dati_CONNESSIONI VOLTMETRICHE'!G10-'dati_CONNESSIONI VOLTMETRICHE'!G36)/(2*SQRT(3)))*TAN(E15)),'DATI INGRESSO'!H164+2)),0))</f>
        <v>0</v>
      </c>
      <c r="M74" s="142">
        <f>IF(AND(E8="X",E50="X"),IF(E59&lt;&gt;"X",ROUND(('dati_CONNESSIONI VOLTMETRICHE'!G10)-(('dati_CONNESSIONI VOLTMETRICHE'!H10)*TAN(E15)),'DATI INGRESSO'!H164+2),0))</f>
        <v>0</v>
      </c>
      <c r="N74" s="142">
        <f>IF(AND(E8="X",E50="X"),IF(E59&lt;&gt;"X",ROUND(('dati_CONNESSIONI VOLTMETRICHE'!G36)-(('dati_CONNESSIONI VOLTMETRICHE'!H36)*TAN(E15)),'DATI INGRESSO'!H164+2),0))</f>
        <v>0</v>
      </c>
      <c r="P74" s="143">
        <f>IF(AND(E8="X",E50="X"),IF(E59&lt;&gt;"X",ROUND((('dati_CONNESSIONI VOLTMETRICHE'!G10)-(('dati_CONNESSIONI VOLTMETRICHE'!H10)*TAN(E15)/100)),'DATI INGRESSO'!H164+2),0),0)</f>
        <v>0</v>
      </c>
    </row>
    <row r="75" spans="1:16" x14ac:dyDescent="0.25">
      <c r="A75" s="1478"/>
      <c r="B75" s="1791"/>
      <c r="C75" s="145" t="s">
        <v>198</v>
      </c>
      <c r="D75" s="9" t="s">
        <v>1</v>
      </c>
      <c r="E75" s="146">
        <f ca="1">IF(E8="X",ROUND(E71+E72+E73+E74,'DATI INGRESSO'!H164+2),"NON ESEGUITA")</f>
        <v>-1.2E-4</v>
      </c>
    </row>
    <row r="76" spans="1:16" x14ac:dyDescent="0.25">
      <c r="B76" s="1468" t="s">
        <v>215</v>
      </c>
      <c r="C76" s="1468"/>
      <c r="D76" s="1468"/>
      <c r="E76" s="147" t="str">
        <f>IF(OR(E67="POSITIVO",E68="POSITIVO",E69="POSITIVO",E70="POSITIVO"),"POSITIVO","NEGATIVO")</f>
        <v>POSITIVO</v>
      </c>
    </row>
    <row r="77" spans="1:16" x14ac:dyDescent="0.25">
      <c r="E77" s="148"/>
    </row>
    <row r="78" spans="1:16" x14ac:dyDescent="0.25">
      <c r="E78" s="148"/>
    </row>
    <row r="80" spans="1:16" ht="15.75" customHeight="1" x14ac:dyDescent="0.25"/>
  </sheetData>
  <sheetProtection algorithmName="SHA-512" hashValue="UQMqDaP3+zybyvCpWUupWCAWPK0py+oOuwXY97McSqX2MfPBLtDuXe9OSdw7JpBbzRw+sgxDo6Y6AeXPYUl2Xg==" saltValue="xKydMWLt2dhOEeIU6//MOw==" spinCount="100000" sheet="1" objects="1" scenarios="1"/>
  <mergeCells count="15">
    <mergeCell ref="G1:H1"/>
    <mergeCell ref="B76:D76"/>
    <mergeCell ref="A32:A38"/>
    <mergeCell ref="B69:B75"/>
    <mergeCell ref="A61:A63"/>
    <mergeCell ref="A67:A75"/>
    <mergeCell ref="G5:G6"/>
    <mergeCell ref="L70:N70"/>
    <mergeCell ref="G70:J70"/>
    <mergeCell ref="B24:B27"/>
    <mergeCell ref="A6:A29"/>
    <mergeCell ref="B41:B43"/>
    <mergeCell ref="A40:A48"/>
    <mergeCell ref="B51:B53"/>
    <mergeCell ref="A50:A58"/>
  </mergeCells>
  <printOptions horizontalCentered="1" verticalCentered="1"/>
  <pageMargins left="0.74803149606299213" right="0.74803149606299213" top="0.98425196850393704" bottom="0.98425196850393704" header="0.51181102362204722" footer="0.51181102362204722"/>
  <pageSetup paperSize="9" scale="4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8"/>
  <sheetViews>
    <sheetView workbookViewId="0">
      <selection activeCell="O28" sqref="O28"/>
    </sheetView>
  </sheetViews>
  <sheetFormatPr defaultRowHeight="15" x14ac:dyDescent="0.25"/>
  <cols>
    <col min="1" max="1" width="68.42578125" style="1" bestFit="1" customWidth="1"/>
    <col min="2" max="2" width="15.7109375" style="1" customWidth="1"/>
    <col min="3" max="3" width="11.28515625" style="1" customWidth="1"/>
    <col min="4" max="16384" width="9.140625" style="1"/>
  </cols>
  <sheetData>
    <row r="1" spans="1:18" x14ac:dyDescent="0.25">
      <c r="A1" s="9" t="s">
        <v>335</v>
      </c>
      <c r="B1" s="9"/>
      <c r="C1" s="13" t="str">
        <f>'VALUT. GLOBALE'!E35</f>
        <v>C</v>
      </c>
    </row>
    <row r="2" spans="1:18" x14ac:dyDescent="0.25">
      <c r="A2" s="9" t="s">
        <v>336</v>
      </c>
      <c r="B2" s="9"/>
      <c r="C2" s="13">
        <f>'VALUT. GLOBALE'!E28</f>
        <v>17.600000000000001</v>
      </c>
    </row>
    <row r="3" spans="1:18" x14ac:dyDescent="0.25">
      <c r="A3" s="1363" t="s">
        <v>721</v>
      </c>
      <c r="B3" s="9" t="s">
        <v>338</v>
      </c>
      <c r="C3" s="13" t="str">
        <f>IF(OR('DATI INGRESSO'!H180="X",'DATI INGRESSO'!H183="X"),"X","")</f>
        <v>X</v>
      </c>
    </row>
    <row r="4" spans="1:18" x14ac:dyDescent="0.25">
      <c r="A4" s="1363"/>
      <c r="B4" s="9" t="s">
        <v>339</v>
      </c>
      <c r="C4" s="13" t="str">
        <f>IF('DATI INGRESSO'!H186="X","X","")</f>
        <v/>
      </c>
    </row>
    <row r="5" spans="1:18" x14ac:dyDescent="0.25">
      <c r="A5" s="1363" t="s">
        <v>337</v>
      </c>
      <c r="B5" s="9" t="s">
        <v>338</v>
      </c>
      <c r="C5" s="13" t="str">
        <f>'VALUT. GLOBALE'!E24</f>
        <v>X</v>
      </c>
      <c r="E5" s="1" t="s">
        <v>340</v>
      </c>
      <c r="G5" s="149">
        <f>IF(OR(C1="A",C1="B",C1="C"),INDEX(C15:N17,LOOKUP(1,P15:P17,O15:O17),LOOKUP(1,C10:N10,C11:N11)),IF(C1="0,2S",0))+IF(C1="0,2S",INDEX(C26:J28,LOOKUP(1,L26:L28,K26:K28),LOOKUP(1,C21:J21,C22:J22)),IF(OR(C1="A",C1="B",C1="C"),0))</f>
        <v>7.0000000000000001E-3</v>
      </c>
      <c r="N5" s="150"/>
    </row>
    <row r="6" spans="1:18" x14ac:dyDescent="0.25">
      <c r="A6" s="1363"/>
      <c r="B6" s="9" t="s">
        <v>339</v>
      </c>
      <c r="C6" s="13" t="str">
        <f>IF(OR('VALUT. GLOBALE'!E25="X",'VALUT. GLOBALE'!E26="X",'VALUT. GLOBALE'!E27="X"),"X","")</f>
        <v/>
      </c>
    </row>
    <row r="7" spans="1:18" ht="18" x14ac:dyDescent="0.35">
      <c r="A7" s="9" t="s">
        <v>34</v>
      </c>
      <c r="B7" s="9"/>
      <c r="C7" s="13" t="str">
        <f>'VALUT. GLOBALE'!E37</f>
        <v>NO</v>
      </c>
    </row>
    <row r="8" spans="1:18" ht="18" x14ac:dyDescent="0.35">
      <c r="A8" s="9" t="s">
        <v>40</v>
      </c>
      <c r="B8" s="9"/>
      <c r="C8" s="13" t="str">
        <f>'VALUT. GLOBALE'!E38</f>
        <v>NON SERVE</v>
      </c>
    </row>
    <row r="9" spans="1:18" x14ac:dyDescent="0.25">
      <c r="A9" s="7"/>
    </row>
    <row r="10" spans="1:18" x14ac:dyDescent="0.25">
      <c r="A10" s="7"/>
      <c r="C10" s="9" t="str">
        <f>IF($C$1=C14,IF(OR(AND($C$2&lt;$D$12,$C$2&gt;=$C$12),AND($C$2&lt;$D$13,$C$2&gt;=$C$13)),1,""),"")</f>
        <v/>
      </c>
      <c r="D10" s="9" t="str">
        <f>IF($C$1=D14,IF(OR(AND($C$2&lt;$D$12,$C$2&gt;=$C$12),AND($C$2&lt;$D$13,$C$2&gt;=$C$13)),1,""),"")</f>
        <v/>
      </c>
      <c r="E10" s="9" t="str">
        <f>IF($C$1=E14,IF(OR(AND($C$2&lt;$D$12,$C$2&gt;=$C$12),AND($C$2&lt;$D$13,$C$2&gt;=$C$13)),1,""),"")</f>
        <v/>
      </c>
      <c r="F10" s="9" t="str">
        <f>IF($C$1=F14,IF(OR(AND($C$2&lt;$G$12,$C$2&gt;=$F$12),AND($C$2&lt;$G$13,$C$2&gt;=$F$13)),1,""),"")</f>
        <v/>
      </c>
      <c r="G10" s="9" t="str">
        <f>IF($C$1=G14,IF(OR(AND($C$2&lt;$G$12,$C$2&gt;=$F$12),AND($C$2&lt;$G$13,$C$2&gt;=$F$13)),1,""),"")</f>
        <v/>
      </c>
      <c r="H10" s="9" t="str">
        <f>IF($C$1=H14,IF(OR(AND($C$2&lt;$G$12,$C$2&gt;=$F$12),AND($C$2&lt;$G$13,$C$2&gt;=$F$13)),1,""),"")</f>
        <v/>
      </c>
      <c r="I10" s="9" t="str">
        <f>IF($C$1=I14,IF(OR(AND($C$2&lt;$J$12,$C$2&gt;=$I$12),AND($C$2&lt;$J$13,$C$2&gt;=$I$13)),1,""),"")</f>
        <v/>
      </c>
      <c r="J10" s="9" t="str">
        <f>IF($C$1=J14,IF(OR(AND($C$2&lt;$J$12,$C$2&gt;=$I$12),AND($C$2&lt;$J$13,$C$2&gt;=$I$13)),1,""),"")</f>
        <v/>
      </c>
      <c r="K10" s="9" t="str">
        <f>IF($C$1=K14,IF(OR(AND($C$2&lt;$J$12,$C$2&gt;=$I$12),AND($C$2&lt;$J$13,$C$2&gt;=$I$13)),1,""),"")</f>
        <v/>
      </c>
      <c r="L10" s="9" t="str">
        <f>IF($C$1=L14,IF(AND($C$2&lt;$M$12,$C$2&gt;=$L$12),1,""),"")</f>
        <v/>
      </c>
      <c r="M10" s="9" t="str">
        <f>IF($C$1=M14,IF(AND($C$2&lt;$M$12,$C$2&gt;=$L$12),1,""),"")</f>
        <v/>
      </c>
      <c r="N10" s="9">
        <f>IF($C$1=N14,IF(AND($C$2&lt;$M$12,$C$2&gt;=$L$12),1,""),"")</f>
        <v>1</v>
      </c>
    </row>
    <row r="11" spans="1:18" ht="15.75" thickBot="1" x14ac:dyDescent="0.3">
      <c r="B11" s="7" t="s">
        <v>341</v>
      </c>
      <c r="C11" s="151">
        <v>1</v>
      </c>
      <c r="D11" s="151">
        <v>2</v>
      </c>
      <c r="E11" s="151">
        <v>3</v>
      </c>
      <c r="F11" s="151">
        <v>4</v>
      </c>
      <c r="G11" s="151">
        <v>5</v>
      </c>
      <c r="H11" s="151">
        <v>6</v>
      </c>
      <c r="I11" s="151">
        <v>7</v>
      </c>
      <c r="J11" s="151">
        <v>8</v>
      </c>
      <c r="K11" s="151">
        <v>9</v>
      </c>
      <c r="L11" s="151">
        <v>10</v>
      </c>
      <c r="M11" s="151">
        <v>11</v>
      </c>
      <c r="N11" s="151">
        <v>12</v>
      </c>
      <c r="Q11" s="1" t="s">
        <v>691</v>
      </c>
      <c r="R11" s="1" t="s">
        <v>692</v>
      </c>
    </row>
    <row r="12" spans="1:18" x14ac:dyDescent="0.25">
      <c r="B12" s="1" t="s">
        <v>334</v>
      </c>
      <c r="C12" s="152">
        <v>-40</v>
      </c>
      <c r="D12" s="153">
        <v>-25</v>
      </c>
      <c r="E12" s="153"/>
      <c r="F12" s="152">
        <v>-25</v>
      </c>
      <c r="G12" s="153">
        <v>-10</v>
      </c>
      <c r="H12" s="153"/>
      <c r="I12" s="152">
        <v>-10</v>
      </c>
      <c r="J12" s="153">
        <v>5</v>
      </c>
      <c r="K12" s="153"/>
      <c r="L12" s="152">
        <v>5</v>
      </c>
      <c r="M12" s="153">
        <v>30</v>
      </c>
      <c r="N12" s="154"/>
    </row>
    <row r="13" spans="1:18" x14ac:dyDescent="0.25">
      <c r="C13" s="57">
        <v>55</v>
      </c>
      <c r="D13" s="4">
        <v>70</v>
      </c>
      <c r="E13" s="4"/>
      <c r="F13" s="57">
        <v>40</v>
      </c>
      <c r="G13" s="4">
        <v>55</v>
      </c>
      <c r="H13" s="4"/>
      <c r="I13" s="57">
        <v>30</v>
      </c>
      <c r="J13" s="4">
        <v>40</v>
      </c>
      <c r="K13" s="4"/>
      <c r="L13" s="57"/>
      <c r="M13" s="4"/>
      <c r="N13" s="155"/>
    </row>
    <row r="14" spans="1:18" x14ac:dyDescent="0.25">
      <c r="B14" s="156" t="s">
        <v>54</v>
      </c>
      <c r="C14" s="157" t="s">
        <v>20</v>
      </c>
      <c r="D14" s="106" t="s">
        <v>0</v>
      </c>
      <c r="E14" s="106" t="s">
        <v>13</v>
      </c>
      <c r="F14" s="157" t="s">
        <v>20</v>
      </c>
      <c r="G14" s="106" t="s">
        <v>0</v>
      </c>
      <c r="H14" s="106" t="s">
        <v>13</v>
      </c>
      <c r="I14" s="157" t="s">
        <v>20</v>
      </c>
      <c r="J14" s="106" t="s">
        <v>0</v>
      </c>
      <c r="K14" s="106" t="s">
        <v>13</v>
      </c>
      <c r="L14" s="157" t="s">
        <v>20</v>
      </c>
      <c r="M14" s="106" t="s">
        <v>0</v>
      </c>
      <c r="N14" s="49" t="s">
        <v>13</v>
      </c>
    </row>
    <row r="15" spans="1:18" ht="18" x14ac:dyDescent="0.35">
      <c r="A15" s="158" t="s">
        <v>56</v>
      </c>
      <c r="B15" s="156" t="s">
        <v>33</v>
      </c>
      <c r="C15" s="159">
        <v>0.09</v>
      </c>
      <c r="D15" s="160">
        <v>0.04</v>
      </c>
      <c r="E15" s="160">
        <v>0.02</v>
      </c>
      <c r="F15" s="159">
        <v>7.0000000000000007E-2</v>
      </c>
      <c r="G15" s="160">
        <v>3.5000000000000003E-2</v>
      </c>
      <c r="H15" s="160">
        <v>1.7000000000000001E-2</v>
      </c>
      <c r="I15" s="159">
        <v>0.05</v>
      </c>
      <c r="J15" s="160">
        <v>2.5000000000000001E-2</v>
      </c>
      <c r="K15" s="160">
        <v>1.2999999999999999E-2</v>
      </c>
      <c r="L15" s="159">
        <v>3.5000000000000003E-2</v>
      </c>
      <c r="M15" s="160">
        <v>0.02</v>
      </c>
      <c r="N15" s="161">
        <v>0.01</v>
      </c>
      <c r="O15" s="162">
        <v>1</v>
      </c>
      <c r="P15" s="12" t="str">
        <f>IF(C3="X",IF(C5="X",IF(C7="SI",1,""),""),IF(C4="X",IF(C7="SI",1,"")))</f>
        <v/>
      </c>
    </row>
    <row r="16" spans="1:18" ht="18" x14ac:dyDescent="0.35">
      <c r="B16" s="156" t="s">
        <v>55</v>
      </c>
      <c r="C16" s="159">
        <v>0.09</v>
      </c>
      <c r="D16" s="160">
        <v>0.04</v>
      </c>
      <c r="E16" s="160">
        <v>1.4999999999999999E-2</v>
      </c>
      <c r="F16" s="159">
        <v>7.0000000000000007E-2</v>
      </c>
      <c r="G16" s="160">
        <v>3.5000000000000003E-2</v>
      </c>
      <c r="H16" s="160">
        <v>1.2999999999999999E-2</v>
      </c>
      <c r="I16" s="159">
        <v>4.4999999999999998E-2</v>
      </c>
      <c r="J16" s="160">
        <v>2.5000000000000001E-2</v>
      </c>
      <c r="K16" s="160">
        <v>0.01</v>
      </c>
      <c r="L16" s="159">
        <v>3.5000000000000003E-2</v>
      </c>
      <c r="M16" s="160">
        <v>0.02</v>
      </c>
      <c r="N16" s="161">
        <v>7.0000000000000001E-3</v>
      </c>
      <c r="O16" s="162">
        <v>2</v>
      </c>
      <c r="P16" s="12">
        <f>IF(C3="X",IF(C5="X",IF(C7="NO",1,""),""),IF(C4="X",IF(C7="NO",1,"")))</f>
        <v>1</v>
      </c>
    </row>
    <row r="17" spans="1:16" ht="18.75" thickBot="1" x14ac:dyDescent="0.4">
      <c r="A17" s="158" t="s">
        <v>57</v>
      </c>
      <c r="B17" s="156" t="s">
        <v>55</v>
      </c>
      <c r="C17" s="163">
        <v>0.09</v>
      </c>
      <c r="D17" s="164">
        <v>4.4999999999999998E-2</v>
      </c>
      <c r="E17" s="164">
        <v>0.02</v>
      </c>
      <c r="F17" s="163">
        <v>7.0000000000000007E-2</v>
      </c>
      <c r="G17" s="164">
        <v>0.04</v>
      </c>
      <c r="H17" s="164">
        <v>1.7000000000000001E-2</v>
      </c>
      <c r="I17" s="163">
        <v>0.05</v>
      </c>
      <c r="J17" s="164">
        <v>0.03</v>
      </c>
      <c r="K17" s="164">
        <v>1.2999999999999999E-2</v>
      </c>
      <c r="L17" s="163">
        <v>0.04</v>
      </c>
      <c r="M17" s="164">
        <v>2.5000000000000001E-2</v>
      </c>
      <c r="N17" s="165">
        <v>0.01</v>
      </c>
      <c r="O17" s="162">
        <v>3</v>
      </c>
      <c r="P17" s="12" t="str">
        <f>IF(C3="X",IF(C6="X",1,""),IF(C4="X",""))</f>
        <v/>
      </c>
    </row>
    <row r="18" spans="1:16" x14ac:dyDescent="0.25">
      <c r="A18" s="7"/>
      <c r="B18" s="166"/>
      <c r="C18" s="166"/>
      <c r="D18" s="166"/>
      <c r="E18" s="166"/>
      <c r="F18" s="166"/>
      <c r="G18" s="166"/>
      <c r="H18" s="166"/>
      <c r="I18" s="166"/>
      <c r="J18" s="166"/>
      <c r="K18" s="166"/>
      <c r="L18" s="166"/>
      <c r="M18" s="166"/>
      <c r="N18" s="166"/>
    </row>
    <row r="19" spans="1:16" x14ac:dyDescent="0.25">
      <c r="A19" s="7"/>
      <c r="B19" s="166"/>
      <c r="C19" s="166"/>
      <c r="D19" s="166"/>
      <c r="E19" s="166"/>
      <c r="F19" s="166"/>
      <c r="G19" s="166"/>
      <c r="H19" s="166"/>
      <c r="I19" s="166"/>
      <c r="J19" s="166"/>
      <c r="K19" s="166"/>
      <c r="L19" s="166"/>
      <c r="M19" s="166"/>
      <c r="N19" s="150"/>
    </row>
    <row r="20" spans="1:16" x14ac:dyDescent="0.25">
      <c r="A20" s="7"/>
      <c r="B20" s="166"/>
      <c r="C20" s="166"/>
      <c r="D20" s="166"/>
      <c r="E20" s="166"/>
      <c r="F20" s="166"/>
      <c r="G20" s="166"/>
      <c r="H20" s="166"/>
      <c r="I20" s="166"/>
      <c r="J20" s="166"/>
      <c r="K20" s="166"/>
      <c r="L20" s="166"/>
      <c r="M20" s="166"/>
      <c r="N20" s="166"/>
    </row>
    <row r="21" spans="1:16" x14ac:dyDescent="0.25">
      <c r="A21" s="7"/>
      <c r="B21" s="166"/>
      <c r="C21" s="9" t="str">
        <f>IF($C$1=C25,IF(OR(AND($C$2&lt;$D$23,$C$2&gt;=$C$23),AND($C$2&lt;$D$24,$C$2&gt;=$C$24)),1,""),"")</f>
        <v/>
      </c>
      <c r="D21" s="160"/>
      <c r="E21" s="9" t="str">
        <f>IF($C$1=E25,IF(OR(AND($C$2&lt;$F$23,$C$2&gt;=$E$23),AND($C$2&lt;$F$24,$C$2&gt;=$E$24)),1,""),"")</f>
        <v/>
      </c>
      <c r="F21" s="160"/>
      <c r="G21" s="9" t="str">
        <f>IF($C$1=G25,IF(OR(AND($C$2&lt;$H$23,$C$2&gt;=$G$23),AND($C$2&lt;$H$24,$C$2&gt;=$G$24)),1,""),"")</f>
        <v/>
      </c>
      <c r="H21" s="160"/>
      <c r="I21" s="9" t="str">
        <f>IF($C$1=I25,IF(AND($C$2&lt;$J$23,$C$2&gt;=$I$23),1,""),"")</f>
        <v/>
      </c>
      <c r="J21" s="160"/>
      <c r="K21" s="166"/>
      <c r="L21" s="166"/>
      <c r="M21" s="166"/>
      <c r="N21" s="166"/>
    </row>
    <row r="22" spans="1:16" ht="15.75" thickBot="1" x14ac:dyDescent="0.3">
      <c r="A22" s="7"/>
      <c r="B22" s="166"/>
      <c r="C22" s="151">
        <v>1</v>
      </c>
      <c r="D22" s="151">
        <v>2</v>
      </c>
      <c r="E22" s="151">
        <v>3</v>
      </c>
      <c r="F22" s="151">
        <v>4</v>
      </c>
      <c r="G22" s="151">
        <v>5</v>
      </c>
      <c r="H22" s="151">
        <v>6</v>
      </c>
      <c r="I22" s="151">
        <v>7</v>
      </c>
      <c r="J22" s="151">
        <v>8</v>
      </c>
      <c r="K22" s="166"/>
      <c r="L22" s="166"/>
      <c r="M22" s="166"/>
      <c r="N22" s="150"/>
      <c r="O22" s="166"/>
      <c r="P22" s="166"/>
    </row>
    <row r="23" spans="1:16" x14ac:dyDescent="0.25">
      <c r="B23" s="1" t="s">
        <v>334</v>
      </c>
      <c r="C23" s="152">
        <v>-40</v>
      </c>
      <c r="D23" s="154">
        <v>-25</v>
      </c>
      <c r="E23" s="152">
        <v>-25</v>
      </c>
      <c r="F23" s="154">
        <v>-10</v>
      </c>
      <c r="G23" s="152">
        <v>-10</v>
      </c>
      <c r="H23" s="154">
        <v>5</v>
      </c>
      <c r="I23" s="152">
        <v>5</v>
      </c>
      <c r="J23" s="154">
        <v>30</v>
      </c>
    </row>
    <row r="24" spans="1:16" x14ac:dyDescent="0.25">
      <c r="C24" s="57">
        <v>55</v>
      </c>
      <c r="D24" s="155">
        <v>70</v>
      </c>
      <c r="E24" s="57">
        <v>40</v>
      </c>
      <c r="F24" s="155">
        <v>55</v>
      </c>
      <c r="G24" s="57">
        <v>30</v>
      </c>
      <c r="H24" s="155">
        <v>40</v>
      </c>
      <c r="I24" s="20"/>
      <c r="J24" s="33"/>
    </row>
    <row r="25" spans="1:16" x14ac:dyDescent="0.25">
      <c r="B25" s="156" t="s">
        <v>54</v>
      </c>
      <c r="C25" s="57" t="s">
        <v>15</v>
      </c>
      <c r="D25" s="155"/>
      <c r="E25" s="57" t="s">
        <v>15</v>
      </c>
      <c r="F25" s="33"/>
      <c r="G25" s="57" t="s">
        <v>15</v>
      </c>
      <c r="H25" s="33"/>
      <c r="I25" s="57" t="s">
        <v>15</v>
      </c>
      <c r="J25" s="33"/>
    </row>
    <row r="26" spans="1:16" ht="18" x14ac:dyDescent="0.35">
      <c r="A26" s="57" t="s">
        <v>56</v>
      </c>
      <c r="B26" s="156" t="s">
        <v>58</v>
      </c>
      <c r="C26" s="167">
        <v>0.01</v>
      </c>
      <c r="D26" s="155"/>
      <c r="E26" s="168">
        <v>8.9999999999999993E-3</v>
      </c>
      <c r="F26" s="33"/>
      <c r="G26" s="168">
        <v>7.0000000000000001E-3</v>
      </c>
      <c r="H26" s="33"/>
      <c r="I26" s="168">
        <v>5.0000000000000001E-3</v>
      </c>
      <c r="J26" s="33"/>
      <c r="K26" s="162">
        <v>1</v>
      </c>
      <c r="L26" s="2" t="str">
        <f>IF(C3="X",IF(C5="X",IF(C8="SI",1,""),""),IF(C4="X",IF(C8="SI",1,"")))</f>
        <v/>
      </c>
    </row>
    <row r="27" spans="1:16" ht="18" x14ac:dyDescent="0.35">
      <c r="B27" s="156" t="s">
        <v>59</v>
      </c>
      <c r="C27" s="167">
        <v>0.01</v>
      </c>
      <c r="D27" s="155"/>
      <c r="E27" s="168">
        <v>8.0000000000000002E-3</v>
      </c>
      <c r="F27" s="33"/>
      <c r="G27" s="168">
        <v>6.0000000000000001E-3</v>
      </c>
      <c r="H27" s="33"/>
      <c r="I27" s="168">
        <v>4.0000000000000001E-3</v>
      </c>
      <c r="J27" s="33"/>
      <c r="K27" s="162">
        <v>2</v>
      </c>
      <c r="L27" s="2" t="str">
        <f>IF(C3="X",IF(C5="X",IF(C8="NO",1,""),""),IF(C4="X",IF(C8="NO",1,"")))</f>
        <v/>
      </c>
    </row>
    <row r="28" spans="1:16" ht="18.75" thickBot="1" x14ac:dyDescent="0.4">
      <c r="A28" s="57" t="s">
        <v>57</v>
      </c>
      <c r="B28" s="156" t="s">
        <v>59</v>
      </c>
      <c r="C28" s="169">
        <v>0.01</v>
      </c>
      <c r="D28" s="170"/>
      <c r="E28" s="171">
        <v>8.9999999999999993E-3</v>
      </c>
      <c r="F28" s="170"/>
      <c r="G28" s="171">
        <v>7.0000000000000001E-3</v>
      </c>
      <c r="H28" s="170"/>
      <c r="I28" s="171">
        <v>5.0000000000000001E-3</v>
      </c>
      <c r="J28" s="170"/>
      <c r="K28" s="162">
        <v>3</v>
      </c>
      <c r="L28" s="2" t="str">
        <f>IF(C3="X",IF(C6="X",1,""),IF(C4="X",""))</f>
        <v/>
      </c>
    </row>
  </sheetData>
  <sheetProtection algorithmName="SHA-512" hashValue="fmGG6XGxOb2YSFXR5rJ095ZtwfymJ072iFZczlrxPUoHHZ/hF6TUDaajVUBnfOdMWeXEinF4+wIDAySrjTB3MA==" saltValue="EteCqKfC2POB1RF48rRZSQ==" spinCount="100000" sheet="1" objects="1" scenarios="1"/>
  <mergeCells count="2">
    <mergeCell ref="A3:A4"/>
    <mergeCell ref="A5:A6"/>
  </mergeCells>
  <pageMargins left="0.70866141732283472" right="0.70866141732283472" top="0.74803149606299213" bottom="0.74803149606299213" header="0.31496062992125984" footer="0.31496062992125984"/>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1"/>
  <sheetViews>
    <sheetView workbookViewId="0">
      <selection activeCell="M33" sqref="M33"/>
    </sheetView>
  </sheetViews>
  <sheetFormatPr defaultRowHeight="15" x14ac:dyDescent="0.25"/>
  <cols>
    <col min="1" max="1" width="10.5703125" style="1" bestFit="1" customWidth="1"/>
    <col min="2" max="2" width="12.140625" style="1" customWidth="1"/>
    <col min="3" max="3" width="16.42578125" style="1" customWidth="1"/>
    <col min="4" max="4" width="15.5703125" style="1" customWidth="1"/>
    <col min="5" max="5" width="19.140625" style="1" bestFit="1" customWidth="1"/>
    <col min="6" max="6" width="17.42578125" style="1" bestFit="1" customWidth="1"/>
    <col min="7" max="7" width="19.140625" style="1" bestFit="1" customWidth="1"/>
    <col min="8" max="8" width="17.42578125" style="1" bestFit="1" customWidth="1"/>
    <col min="9" max="9" width="19.140625" style="1" bestFit="1" customWidth="1"/>
    <col min="10" max="10" width="17.42578125" style="1" bestFit="1" customWidth="1"/>
    <col min="11" max="11" width="19.140625" style="1" bestFit="1" customWidth="1"/>
    <col min="12" max="12" width="17.42578125" style="1" bestFit="1" customWidth="1"/>
    <col min="13" max="13" width="19.140625" style="1" bestFit="1" customWidth="1"/>
    <col min="14" max="14" width="17.42578125" style="1" bestFit="1" customWidth="1"/>
    <col min="15" max="16384" width="9.140625" style="1"/>
  </cols>
  <sheetData>
    <row r="1" spans="1:17" x14ac:dyDescent="0.25">
      <c r="A1" s="172" t="s">
        <v>331</v>
      </c>
      <c r="B1" s="25"/>
      <c r="C1" s="25"/>
    </row>
    <row r="2" spans="1:17" ht="15.75" x14ac:dyDescent="0.25">
      <c r="A2" s="9" t="s">
        <v>323</v>
      </c>
      <c r="B2" s="9"/>
      <c r="C2" s="471" t="str">
        <f>'VALUT. GLOBALE'!E44</f>
        <v>0,5S</v>
      </c>
      <c r="E2" s="23" t="s">
        <v>324</v>
      </c>
      <c r="F2" s="23" t="s">
        <v>325</v>
      </c>
      <c r="I2" s="10" t="e">
        <f>C2+1</f>
        <v>#VALUE!</v>
      </c>
    </row>
    <row r="3" spans="1:17" x14ac:dyDescent="0.25">
      <c r="A3" s="2" t="s">
        <v>239</v>
      </c>
      <c r="B3" s="9" t="s">
        <v>329</v>
      </c>
      <c r="C3" s="173">
        <f>'VALUT. GLOBALE'!E48</f>
        <v>0.504</v>
      </c>
      <c r="E3" s="23"/>
      <c r="F3" s="23"/>
    </row>
    <row r="4" spans="1:17" x14ac:dyDescent="0.25">
      <c r="A4" s="2" t="s">
        <v>239</v>
      </c>
      <c r="B4" s="9" t="s">
        <v>330</v>
      </c>
      <c r="C4" s="174">
        <f>IF(C3&gt;=MAX(A10:A14),MAX(A10:A14),IF(C3&lt;=MIN(A10:A14),MIN(A10:A14),C3))</f>
        <v>0.504</v>
      </c>
      <c r="E4" s="175">
        <f>IF($C$2="1",C20,IF($C$2="0,5",E20,IF($C$2="0,5S",G20,IF($C$2="0,2",I20,IF($C$2="0,2S",K20,IF($C$2="0,1",M20))))))</f>
        <v>5.0000000000000001E-3</v>
      </c>
      <c r="F4" s="176">
        <f>IF($C$2="1",D20,IF($C$2="0,5",F20,IF($C$2="0,5S",H20,IF($C$2="0,2",J20,IF($C$2="0,2S",L20,IF($C$2="0,1",N20))))))</f>
        <v>0.9</v>
      </c>
    </row>
    <row r="5" spans="1:17" x14ac:dyDescent="0.25">
      <c r="A5" s="5"/>
      <c r="B5" s="7"/>
    </row>
    <row r="6" spans="1:17" x14ac:dyDescent="0.25">
      <c r="B6" s="9" t="s">
        <v>16</v>
      </c>
      <c r="C6" s="1786">
        <v>1</v>
      </c>
      <c r="D6" s="1582"/>
      <c r="E6" s="1786">
        <v>0.5</v>
      </c>
      <c r="F6" s="1582"/>
      <c r="G6" s="1786" t="s">
        <v>14</v>
      </c>
      <c r="H6" s="1582"/>
      <c r="I6" s="1371">
        <v>0.2</v>
      </c>
      <c r="J6" s="1371"/>
      <c r="K6" s="1371" t="s">
        <v>15</v>
      </c>
      <c r="L6" s="1371"/>
      <c r="M6" s="1371">
        <v>0.1</v>
      </c>
      <c r="N6" s="1371"/>
      <c r="P6" s="1" t="s">
        <v>691</v>
      </c>
      <c r="Q6" s="1" t="s">
        <v>693</v>
      </c>
    </row>
    <row r="7" spans="1:17" x14ac:dyDescent="0.25">
      <c r="C7" s="9" t="s">
        <v>11</v>
      </c>
      <c r="D7" s="9" t="s">
        <v>12</v>
      </c>
      <c r="E7" s="9" t="s">
        <v>11</v>
      </c>
      <c r="F7" s="9" t="s">
        <v>12</v>
      </c>
      <c r="G7" s="9" t="s">
        <v>11</v>
      </c>
      <c r="H7" s="9" t="s">
        <v>12</v>
      </c>
      <c r="I7" s="9" t="s">
        <v>11</v>
      </c>
      <c r="J7" s="9" t="s">
        <v>12</v>
      </c>
      <c r="K7" s="9" t="s">
        <v>11</v>
      </c>
      <c r="L7" s="9" t="s">
        <v>12</v>
      </c>
      <c r="M7" s="9" t="s">
        <v>11</v>
      </c>
      <c r="N7" s="9" t="s">
        <v>12</v>
      </c>
    </row>
    <row r="8" spans="1:17" x14ac:dyDescent="0.25">
      <c r="A8" s="9" t="s">
        <v>1</v>
      </c>
      <c r="B8" s="9" t="s">
        <v>689</v>
      </c>
      <c r="C8" s="9" t="s">
        <v>1</v>
      </c>
      <c r="D8" s="9" t="s">
        <v>2</v>
      </c>
      <c r="E8" s="9" t="s">
        <v>1</v>
      </c>
      <c r="F8" s="9" t="s">
        <v>2</v>
      </c>
      <c r="G8" s="9" t="s">
        <v>1</v>
      </c>
      <c r="H8" s="9" t="s">
        <v>2</v>
      </c>
      <c r="I8" s="9" t="s">
        <v>1</v>
      </c>
      <c r="J8" s="9" t="s">
        <v>2</v>
      </c>
      <c r="K8" s="9" t="s">
        <v>1</v>
      </c>
      <c r="L8" s="9" t="s">
        <v>2</v>
      </c>
      <c r="M8" s="9" t="s">
        <v>1</v>
      </c>
      <c r="N8" s="9" t="s">
        <v>2</v>
      </c>
    </row>
    <row r="9" spans="1:17" x14ac:dyDescent="0.25">
      <c r="A9" s="9" t="s">
        <v>97</v>
      </c>
      <c r="B9" s="9"/>
      <c r="C9" s="9"/>
      <c r="D9" s="9"/>
      <c r="E9" s="9"/>
      <c r="F9" s="9"/>
      <c r="G9" s="9"/>
      <c r="H9" s="9"/>
      <c r="I9" s="9"/>
      <c r="J9" s="9"/>
      <c r="K9" s="9"/>
      <c r="L9" s="9"/>
      <c r="M9" s="9"/>
      <c r="N9" s="9"/>
    </row>
    <row r="10" spans="1:17" x14ac:dyDescent="0.25">
      <c r="A10" s="177">
        <v>0.01</v>
      </c>
      <c r="B10" s="178">
        <f>IF($A$10&lt;&gt;"N.D.",IF($A$9="N.D.",IF(AND($C$4&gt;=$A$10,$C$4&lt;$A$11),"I",0),IF($A$11="N.D.",IF(AND($C$4&gt;=$A$9,$C$4&lt;=$A$10),"S",0),IF($A$12="N.D.",IF(AND($C$4&gt;=$A$10,$C$4&lt;=$A$11),"I",IF(AND($C$4&gt;=$A$9,$C$4&lt;$A$10),"S",0)),IF(AND($C$4&gt;=$A$10,$C$4&lt;$A$11),"I",IF(AND($C$4&gt;=$A$9,$C$4&lt;$A$10),"S",0))))),0)</f>
        <v>0</v>
      </c>
      <c r="C10" s="179">
        <v>0.03</v>
      </c>
      <c r="D10" s="180">
        <v>5.4</v>
      </c>
      <c r="E10" s="179">
        <v>1.4999999999999999E-2</v>
      </c>
      <c r="F10" s="180">
        <v>2.7</v>
      </c>
      <c r="G10" s="181">
        <v>1.4999999999999999E-2</v>
      </c>
      <c r="H10" s="9">
        <v>2.7</v>
      </c>
      <c r="I10" s="179">
        <v>7.4999999999999997E-3</v>
      </c>
      <c r="J10" s="180">
        <v>0.9</v>
      </c>
      <c r="K10" s="181">
        <v>7.4999999999999997E-3</v>
      </c>
      <c r="L10" s="9">
        <v>0.9</v>
      </c>
      <c r="M10" s="179">
        <v>4.0000000000000001E-3</v>
      </c>
      <c r="N10" s="180">
        <v>0.45</v>
      </c>
      <c r="P10" s="182"/>
      <c r="Q10" s="1" t="s">
        <v>690</v>
      </c>
    </row>
    <row r="11" spans="1:17" x14ac:dyDescent="0.25">
      <c r="A11" s="177">
        <v>0.05</v>
      </c>
      <c r="B11" s="178">
        <f>IF($A$11&lt;&gt;"N.D.",IF($A$10="N.D.",IF(AND($C$4&gt;=$A$11,$C$4&lt;$A$12),"I",0),IF($A$12="N.D.",IF(AND($C$4&gt;=$A$10,$C$4&lt;=$A$11),"S",0),IF($A$13="N.D.",IF(AND($C$4&gt;=$A$11,$C$4&lt;=$A$12),"I",IF(AND($C$4&gt;=$A$10,$C$4&lt;$A$11),"S",0)),IF(AND($C$4&gt;=$A$11,$C$4&lt;$A$12),"I",IF(AND($C$4&gt;=$A$10,$C$4&lt;$A$11),"S",0))))),0)</f>
        <v>0</v>
      </c>
      <c r="C11" s="181">
        <v>0.03</v>
      </c>
      <c r="D11" s="9">
        <v>5.4</v>
      </c>
      <c r="E11" s="181">
        <v>1.4999999999999999E-2</v>
      </c>
      <c r="F11" s="9">
        <v>2.7</v>
      </c>
      <c r="G11" s="181">
        <v>7.4999999999999997E-3</v>
      </c>
      <c r="H11" s="9">
        <v>1.35</v>
      </c>
      <c r="I11" s="181">
        <v>7.4999999999999997E-3</v>
      </c>
      <c r="J11" s="9">
        <v>0.9</v>
      </c>
      <c r="K11" s="181">
        <v>3.5000000000000001E-3</v>
      </c>
      <c r="L11" s="9">
        <v>0.45</v>
      </c>
      <c r="M11" s="181">
        <v>4.0000000000000001E-3</v>
      </c>
      <c r="N11" s="9">
        <v>0.45</v>
      </c>
    </row>
    <row r="12" spans="1:17" x14ac:dyDescent="0.25">
      <c r="A12" s="177">
        <v>0.2</v>
      </c>
      <c r="B12" s="178" t="str">
        <f>IF($A$12&lt;&gt;"N.D.",IF($A$11="N.D.",IF(AND($C$4&gt;=$A$12,$C$4&lt;$A$13),"I",0),IF($A$13="N.D.",IF(AND($C$4&gt;=$A$11,$C$4&lt;=$A$12),"S",0),IF($A$14="N.D.",IF(AND($C$4&gt;=$A$12,$C$4&lt;=$A$13),"I",IF(AND($C$4&gt;=$A$11,$C$4&lt;$A$12),"S",0)),IF(AND($C$4&gt;=$A$12,$C$4&lt;$A$13),"I",IF(AND($C$4&gt;=$A$11,$C$4&lt;$A$12),"S",0))))),0)</f>
        <v>I</v>
      </c>
      <c r="C12" s="181">
        <v>1.4999999999999999E-2</v>
      </c>
      <c r="D12" s="9">
        <v>2.7</v>
      </c>
      <c r="E12" s="181">
        <v>7.4999999999999997E-3</v>
      </c>
      <c r="F12" s="9">
        <v>1.35</v>
      </c>
      <c r="G12" s="181">
        <v>5.0000000000000001E-3</v>
      </c>
      <c r="H12" s="9">
        <v>0.9</v>
      </c>
      <c r="I12" s="181">
        <v>3.5000000000000001E-3</v>
      </c>
      <c r="J12" s="9">
        <v>0.45</v>
      </c>
      <c r="K12" s="181">
        <v>2E-3</v>
      </c>
      <c r="L12" s="9">
        <v>0.3</v>
      </c>
      <c r="M12" s="181">
        <v>2E-3</v>
      </c>
      <c r="N12" s="9">
        <v>0.24</v>
      </c>
    </row>
    <row r="13" spans="1:17" x14ac:dyDescent="0.25">
      <c r="A13" s="177">
        <v>1</v>
      </c>
      <c r="B13" s="178" t="str">
        <f>IF($A$13&lt;&gt;"N.D.",IF($A$12="N.D.",IF(AND($C$4&gt;=$A$13,$C$4&lt;$A$14),"I",0),IF($A$14="N.D.",IF(AND($C$4&gt;=$A$12,$C$4&lt;=$A$13),"S",0),IF($A$15="N.D.",IF(AND($C$4&gt;=$A$13,$C$4&lt;=$A$14),"I",IF(AND($C$4&gt;=$A$12,$C$4&lt;$A$13),"S",0)),IF(AND($C$4&gt;=$A$13,$C$4&lt;$A$14),"I",IF(AND($C$4&gt;=$A$12,$C$4&lt;$A$13),"S",0))))),0)</f>
        <v>S</v>
      </c>
      <c r="C13" s="181">
        <v>0.01</v>
      </c>
      <c r="D13" s="9">
        <v>1.8</v>
      </c>
      <c r="E13" s="181">
        <v>5.0000000000000001E-3</v>
      </c>
      <c r="F13" s="9">
        <v>0.9</v>
      </c>
      <c r="G13" s="181">
        <v>5.0000000000000001E-3</v>
      </c>
      <c r="H13" s="9">
        <v>0.9</v>
      </c>
      <c r="I13" s="181">
        <v>2E-3</v>
      </c>
      <c r="J13" s="9">
        <v>0.3</v>
      </c>
      <c r="K13" s="181">
        <v>2E-3</v>
      </c>
      <c r="L13" s="9">
        <v>0.3</v>
      </c>
      <c r="M13" s="181">
        <v>1E-3</v>
      </c>
      <c r="N13" s="9">
        <v>0.15</v>
      </c>
    </row>
    <row r="14" spans="1:17" x14ac:dyDescent="0.25">
      <c r="A14" s="177">
        <v>1.2</v>
      </c>
      <c r="B14" s="178">
        <f>IF($A$14&lt;&gt;"N.D.",IF($A$13="N.D.",IF(AND($C$4&gt;=$A$14,$C$4&lt;$A$15),"I",0),IF($A$15="N.D.",IF(AND($C$4&gt;=$A$13,$C$4&lt;=$A$14),"S",0),IF($A$16="N.D.",IF(AND($C$4&gt;=$A$14,$C$4&lt;=$A$15),"I",IF(AND($C$4&gt;=$A$13,$C$4&lt;$A$14),"S",0)),IF(AND($C$4&gt;=$A$14,$C$4&lt;$A$15),"I",IF(AND($C$4&gt;=$A$13,$C$4&lt;$A$14),"S",0))))),0)</f>
        <v>0</v>
      </c>
      <c r="C14" s="181">
        <v>0.01</v>
      </c>
      <c r="D14" s="9">
        <v>1.8</v>
      </c>
      <c r="E14" s="181">
        <v>5.0000000000000001E-3</v>
      </c>
      <c r="F14" s="9">
        <v>0.9</v>
      </c>
      <c r="G14" s="181">
        <v>5.0000000000000001E-3</v>
      </c>
      <c r="H14" s="9">
        <v>0.9</v>
      </c>
      <c r="I14" s="181">
        <v>2E-3</v>
      </c>
      <c r="J14" s="9">
        <v>0.3</v>
      </c>
      <c r="K14" s="181">
        <v>2E-3</v>
      </c>
      <c r="L14" s="9">
        <v>0.3</v>
      </c>
      <c r="M14" s="181">
        <v>1E-3</v>
      </c>
      <c r="N14" s="9">
        <v>0.15</v>
      </c>
    </row>
    <row r="15" spans="1:17" x14ac:dyDescent="0.25">
      <c r="A15" s="183" t="s">
        <v>97</v>
      </c>
      <c r="B15" s="184"/>
      <c r="C15" s="184"/>
      <c r="D15" s="184"/>
    </row>
    <row r="16" spans="1:17" x14ac:dyDescent="0.25">
      <c r="A16" s="9" t="s">
        <v>97</v>
      </c>
      <c r="B16" s="7"/>
      <c r="C16" s="7"/>
      <c r="D16" s="7"/>
    </row>
    <row r="17" spans="1:14" x14ac:dyDescent="0.25">
      <c r="A17" s="7"/>
      <c r="B17" s="7"/>
      <c r="C17" s="7"/>
      <c r="D17" s="7"/>
    </row>
    <row r="18" spans="1:14" ht="15.75" x14ac:dyDescent="0.25">
      <c r="B18" s="25"/>
      <c r="C18" s="185" t="s">
        <v>324</v>
      </c>
      <c r="D18" s="23" t="s">
        <v>325</v>
      </c>
      <c r="E18" s="185" t="s">
        <v>324</v>
      </c>
      <c r="F18" s="23" t="s">
        <v>325</v>
      </c>
      <c r="G18" s="185" t="s">
        <v>324</v>
      </c>
      <c r="H18" s="23" t="s">
        <v>325</v>
      </c>
      <c r="I18" s="185" t="s">
        <v>324</v>
      </c>
      <c r="J18" s="23" t="s">
        <v>325</v>
      </c>
      <c r="K18" s="185" t="s">
        <v>324</v>
      </c>
      <c r="L18" s="23" t="s">
        <v>325</v>
      </c>
      <c r="M18" s="185" t="s">
        <v>324</v>
      </c>
      <c r="N18" s="23" t="s">
        <v>325</v>
      </c>
    </row>
    <row r="19" spans="1:14" x14ac:dyDescent="0.25">
      <c r="B19" s="186">
        <f>LOOKUP("I",$B$10:$B$14,$A$10:$A$14)</f>
        <v>0.2</v>
      </c>
      <c r="C19" s="187">
        <f t="shared" ref="C19:L19" si="0">LOOKUP("I",$B$10:$B$14,C10:C14)</f>
        <v>1.4999999999999999E-2</v>
      </c>
      <c r="D19" s="188">
        <f t="shared" si="0"/>
        <v>2.7</v>
      </c>
      <c r="E19" s="189">
        <f t="shared" si="0"/>
        <v>7.4999999999999997E-3</v>
      </c>
      <c r="F19" s="188">
        <f t="shared" si="0"/>
        <v>1.35</v>
      </c>
      <c r="G19" s="187">
        <f t="shared" si="0"/>
        <v>5.0000000000000001E-3</v>
      </c>
      <c r="H19" s="188">
        <f t="shared" si="0"/>
        <v>0.9</v>
      </c>
      <c r="I19" s="187">
        <f t="shared" si="0"/>
        <v>3.5000000000000001E-3</v>
      </c>
      <c r="J19" s="188">
        <f t="shared" si="0"/>
        <v>0.45</v>
      </c>
      <c r="K19" s="187">
        <f t="shared" si="0"/>
        <v>2E-3</v>
      </c>
      <c r="L19" s="188">
        <f t="shared" si="0"/>
        <v>0.3</v>
      </c>
      <c r="M19" s="187">
        <f>LOOKUP("I",$B$10:$B$14,M10:M14)</f>
        <v>2E-3</v>
      </c>
      <c r="N19" s="188">
        <f t="shared" ref="N19" si="1">LOOKUP("I",$B$10:$B$14,N10:N14)</f>
        <v>0.24</v>
      </c>
    </row>
    <row r="20" spans="1:14" x14ac:dyDescent="0.25">
      <c r="B20" s="190">
        <f>C4</f>
        <v>0.504</v>
      </c>
      <c r="C20" s="191">
        <f t="shared" ref="C20:L20" si="2">($B$20-$B$19)/($B$21-$B$19)*(C21-C19)+C19</f>
        <v>1.3100000000000001E-2</v>
      </c>
      <c r="D20" s="192">
        <f t="shared" si="2"/>
        <v>2.3580000000000001</v>
      </c>
      <c r="E20" s="193">
        <f t="shared" si="2"/>
        <v>6.5500000000000003E-3</v>
      </c>
      <c r="F20" s="192">
        <f t="shared" si="2"/>
        <v>1.179</v>
      </c>
      <c r="G20" s="191">
        <f t="shared" si="2"/>
        <v>5.0000000000000001E-3</v>
      </c>
      <c r="H20" s="192">
        <f t="shared" si="2"/>
        <v>0.9</v>
      </c>
      <c r="I20" s="191">
        <f t="shared" si="2"/>
        <v>2.9300000000000003E-3</v>
      </c>
      <c r="J20" s="192">
        <f t="shared" si="2"/>
        <v>0.39300000000000002</v>
      </c>
      <c r="K20" s="191">
        <f t="shared" si="2"/>
        <v>2E-3</v>
      </c>
      <c r="L20" s="192">
        <f t="shared" si="2"/>
        <v>0.3</v>
      </c>
      <c r="M20" s="194">
        <f>($B$20-$B$19)/($B$21-$B$19)*(M21-M19)+M19</f>
        <v>1.6200000000000001E-3</v>
      </c>
      <c r="N20" s="192">
        <f t="shared" ref="N20" si="3">($B$20-$B$19)/($B$21-$B$19)*(N21-N19)+N19</f>
        <v>0.20579999999999998</v>
      </c>
    </row>
    <row r="21" spans="1:14" x14ac:dyDescent="0.25">
      <c r="B21" s="195">
        <f>LOOKUP("S",$B$10:$B$14,$A$10:$A$14)</f>
        <v>1</v>
      </c>
      <c r="C21" s="187">
        <f t="shared" ref="C21:L21" si="4">LOOKUP("S",$B$10:$B$14,C10:C14)</f>
        <v>0.01</v>
      </c>
      <c r="D21" s="188">
        <f t="shared" si="4"/>
        <v>1.8</v>
      </c>
      <c r="E21" s="189">
        <f t="shared" si="4"/>
        <v>5.0000000000000001E-3</v>
      </c>
      <c r="F21" s="188">
        <f t="shared" si="4"/>
        <v>0.9</v>
      </c>
      <c r="G21" s="187">
        <f t="shared" si="4"/>
        <v>5.0000000000000001E-3</v>
      </c>
      <c r="H21" s="188">
        <f t="shared" si="4"/>
        <v>0.9</v>
      </c>
      <c r="I21" s="187">
        <f t="shared" si="4"/>
        <v>2E-3</v>
      </c>
      <c r="J21" s="188">
        <f t="shared" si="4"/>
        <v>0.3</v>
      </c>
      <c r="K21" s="187">
        <f t="shared" si="4"/>
        <v>2E-3</v>
      </c>
      <c r="L21" s="188">
        <f t="shared" si="4"/>
        <v>0.3</v>
      </c>
      <c r="M21" s="187">
        <f>LOOKUP("S",$B$10:$B$14,M10:M14)</f>
        <v>1E-3</v>
      </c>
      <c r="N21" s="188">
        <f t="shared" ref="N21" si="5">LOOKUP("S",$B$10:$B$14,N10:N14)</f>
        <v>0.15</v>
      </c>
    </row>
  </sheetData>
  <sheetProtection algorithmName="SHA-512" hashValue="JrMulfDpmnMjC4bum7gbGMxiC+a2Gs6SSPZQesAjZDQFeMs2rIlSaCQ3l6wzNKmDfksQwG3SCeid15gcAj00KA==" saltValue="GEUVJ77dstrLmdVDmedWJg==" spinCount="100000" sheet="1" objects="1" scenarios="1"/>
  <mergeCells count="6">
    <mergeCell ref="M6:N6"/>
    <mergeCell ref="C6:D6"/>
    <mergeCell ref="E6:F6"/>
    <mergeCell ref="G6:H6"/>
    <mergeCell ref="I6:J6"/>
    <mergeCell ref="K6:L6"/>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1"/>
  <sheetViews>
    <sheetView workbookViewId="0">
      <selection activeCell="N28" sqref="N28"/>
    </sheetView>
  </sheetViews>
  <sheetFormatPr defaultRowHeight="15" x14ac:dyDescent="0.25"/>
  <cols>
    <col min="1" max="1" width="10.5703125" style="1" bestFit="1" customWidth="1"/>
    <col min="2" max="2" width="12.140625" style="1" customWidth="1"/>
    <col min="3" max="3" width="16.42578125" style="1" customWidth="1"/>
    <col min="4" max="4" width="15.5703125" style="1" customWidth="1"/>
    <col min="5" max="5" width="19.140625" style="1" bestFit="1" customWidth="1"/>
    <col min="6" max="6" width="17.42578125" style="1" bestFit="1" customWidth="1"/>
    <col min="7" max="7" width="19.140625" style="1" bestFit="1" customWidth="1"/>
    <col min="8" max="8" width="17.42578125" style="1" bestFit="1" customWidth="1"/>
    <col min="9" max="9" width="19.140625" style="1" bestFit="1" customWidth="1"/>
    <col min="10" max="10" width="17.42578125" style="1" bestFit="1" customWidth="1"/>
    <col min="11" max="11" width="19.140625" style="1" bestFit="1" customWidth="1"/>
    <col min="12" max="12" width="9" style="1" customWidth="1"/>
    <col min="13" max="16384" width="9.140625" style="1"/>
  </cols>
  <sheetData>
    <row r="1" spans="1:13" x14ac:dyDescent="0.25">
      <c r="A1" s="172" t="s">
        <v>327</v>
      </c>
      <c r="B1" s="25"/>
      <c r="C1" s="25"/>
    </row>
    <row r="2" spans="1:13" ht="15.75" x14ac:dyDescent="0.25">
      <c r="A2" s="9" t="s">
        <v>326</v>
      </c>
      <c r="B2" s="9"/>
      <c r="C2" s="2" t="str">
        <f>'VALUT. GLOBALE'!E54</f>
        <v>0,2</v>
      </c>
      <c r="E2" s="23" t="s">
        <v>324</v>
      </c>
      <c r="F2" s="23" t="s">
        <v>325</v>
      </c>
    </row>
    <row r="3" spans="1:13" x14ac:dyDescent="0.25">
      <c r="A3" s="2" t="s">
        <v>239</v>
      </c>
      <c r="B3" s="9" t="s">
        <v>329</v>
      </c>
      <c r="C3" s="173">
        <f>'VALUT. GLOBALE'!E58</f>
        <v>0.57700000000000007</v>
      </c>
      <c r="E3" s="23"/>
      <c r="F3" s="23"/>
    </row>
    <row r="4" spans="1:13" x14ac:dyDescent="0.25">
      <c r="A4" s="2" t="s">
        <v>239</v>
      </c>
      <c r="B4" s="9" t="s">
        <v>330</v>
      </c>
      <c r="C4" s="174">
        <f>IF(C3&gt;=MAX(A10:A14),MAX(A10:A14),IF(C3&lt;=MIN(A10:A14),MIN(A10:A14),C3))</f>
        <v>0.8</v>
      </c>
      <c r="E4" s="193">
        <f>IF($C$2="1",C20,IF($C$2="0,5",E20,IF($C$2="0,2",G20,IF($C$2="0,1",I20))))</f>
        <v>2E-3</v>
      </c>
      <c r="F4" s="192">
        <f>IF($C$2="1",D20,IF($C$2="0,5",F20,IF($C$2="0,2",H20,IF($C$2="0,1",J20))))</f>
        <v>0.3</v>
      </c>
    </row>
    <row r="5" spans="1:13" x14ac:dyDescent="0.25">
      <c r="A5" s="5"/>
      <c r="B5" s="7"/>
    </row>
    <row r="6" spans="1:13" x14ac:dyDescent="0.25">
      <c r="B6" s="9" t="s">
        <v>17</v>
      </c>
      <c r="C6" s="1786">
        <v>1</v>
      </c>
      <c r="D6" s="1582"/>
      <c r="E6" s="1786">
        <v>0.5</v>
      </c>
      <c r="F6" s="1582"/>
      <c r="G6" s="1786">
        <v>0.2</v>
      </c>
      <c r="H6" s="1582"/>
      <c r="I6" s="1371">
        <v>0.1</v>
      </c>
      <c r="J6" s="1371"/>
      <c r="L6" s="1" t="s">
        <v>691</v>
      </c>
      <c r="M6" s="1" t="s">
        <v>694</v>
      </c>
    </row>
    <row r="7" spans="1:13" x14ac:dyDescent="0.25">
      <c r="C7" s="9" t="s">
        <v>11</v>
      </c>
      <c r="D7" s="9" t="s">
        <v>12</v>
      </c>
      <c r="E7" s="9" t="s">
        <v>11</v>
      </c>
      <c r="F7" s="9" t="s">
        <v>12</v>
      </c>
      <c r="G7" s="9" t="s">
        <v>11</v>
      </c>
      <c r="H7" s="9" t="s">
        <v>12</v>
      </c>
      <c r="I7" s="9" t="s">
        <v>11</v>
      </c>
      <c r="J7" s="9" t="s">
        <v>12</v>
      </c>
    </row>
    <row r="8" spans="1:13" x14ac:dyDescent="0.25">
      <c r="A8" s="9" t="s">
        <v>1</v>
      </c>
      <c r="B8" s="9" t="s">
        <v>328</v>
      </c>
      <c r="C8" s="9" t="s">
        <v>1</v>
      </c>
      <c r="D8" s="9" t="s">
        <v>2</v>
      </c>
      <c r="E8" s="9" t="s">
        <v>1</v>
      </c>
      <c r="F8" s="9" t="s">
        <v>2</v>
      </c>
      <c r="G8" s="9" t="s">
        <v>1</v>
      </c>
      <c r="H8" s="9" t="s">
        <v>2</v>
      </c>
      <c r="I8" s="9" t="s">
        <v>1</v>
      </c>
      <c r="J8" s="9" t="s">
        <v>2</v>
      </c>
    </row>
    <row r="9" spans="1:13" x14ac:dyDescent="0.25">
      <c r="A9" s="9" t="s">
        <v>97</v>
      </c>
      <c r="B9" s="9"/>
      <c r="C9" s="9"/>
      <c r="D9" s="9"/>
      <c r="E9" s="9"/>
      <c r="F9" s="9"/>
      <c r="G9" s="9"/>
      <c r="H9" s="9"/>
      <c r="I9" s="9"/>
      <c r="J9" s="9"/>
    </row>
    <row r="10" spans="1:13" x14ac:dyDescent="0.25">
      <c r="A10" s="177">
        <v>0.8</v>
      </c>
      <c r="B10" s="178" t="str">
        <f>IF($A$10&lt;&gt;"N.D.",IF($A$9="N.D.",IF(AND($C$4&gt;=$A$10,$C$4&lt;$A$11),"I",0),IF($A$11="N.D.",IF(AND($C$4&gt;=$A$9,$C$4&lt;=$A$10),"S",0),IF($A$12="N.D.",IF(AND($C$4&gt;=$A$10,$C$4&lt;=$A$11),"I",IF(AND($C$4&gt;=$A$9,$C$4&lt;$A$10),"S",0)),IF(AND($C$4&gt;=$A$10,$C$4&lt;$A$11),"I",IF(AND($C$4&gt;=$A$9,$C$4&lt;$A$10),"S",0))))),0)</f>
        <v>I</v>
      </c>
      <c r="C10" s="177">
        <v>0.01</v>
      </c>
      <c r="D10" s="9">
        <v>1.2</v>
      </c>
      <c r="E10" s="181">
        <v>5.0000000000000001E-3</v>
      </c>
      <c r="F10" s="9">
        <v>0.6</v>
      </c>
      <c r="G10" s="181">
        <v>2E-3</v>
      </c>
      <c r="H10" s="9">
        <v>0.3</v>
      </c>
      <c r="I10" s="181">
        <v>1E-3</v>
      </c>
      <c r="J10" s="9">
        <v>0.15</v>
      </c>
      <c r="L10" s="182"/>
      <c r="M10" s="1" t="s">
        <v>690</v>
      </c>
    </row>
    <row r="11" spans="1:13" x14ac:dyDescent="0.25">
      <c r="A11" s="177">
        <v>1</v>
      </c>
      <c r="B11" s="178" t="str">
        <f>IF($A$11&lt;&gt;"N.D.",IF($A$10="N.D.",IF(AND($C$4&gt;=$A$11,$C$4&lt;$A$12),"I",0),IF($A$12="N.D.",IF(AND($C$4&gt;=$A$10,$C$4&lt;=$A$11),"S",0),IF($A$13="N.D.",IF(AND($C$4&gt;=$A$11,$C$4&lt;=$A$12),"I",IF(AND($C$4&gt;=$A$10,$C$4&lt;$A$11),"S",0)),IF(AND($C$4&gt;=$A$11,$C$4&lt;$A$12),"I",IF(AND($C$4&gt;=$A$10,$C$4&lt;$A$11),"S",0))))),0)</f>
        <v>S</v>
      </c>
      <c r="C11" s="177">
        <v>0.01</v>
      </c>
      <c r="D11" s="9">
        <v>1.2</v>
      </c>
      <c r="E11" s="181">
        <v>5.0000000000000001E-3</v>
      </c>
      <c r="F11" s="9">
        <v>0.6</v>
      </c>
      <c r="G11" s="181">
        <v>2E-3</v>
      </c>
      <c r="H11" s="9">
        <v>0.3</v>
      </c>
      <c r="I11" s="181">
        <v>1E-3</v>
      </c>
      <c r="J11" s="9">
        <v>0.15</v>
      </c>
    </row>
    <row r="12" spans="1:13" x14ac:dyDescent="0.25">
      <c r="A12" s="177">
        <v>1.2</v>
      </c>
      <c r="B12" s="178">
        <f>IF($A$12&lt;&gt;"N.D.",IF($A$11="N.D.",IF(AND($C$4&gt;=$A$12,$C$4&lt;$A$13),"I",0),IF($A$13="N.D.",IF(AND($C$4&gt;=$A$11,$C$4&lt;=$A$12),"S",0),IF($A$14="N.D.",IF(AND($C$4&gt;=$A$12,$C$4&lt;=$A$13),"I",IF(AND($C$4&gt;=$A$11,$C$4&lt;$A$12),"S",0)),IF(AND($C$4&gt;=$A$12,$C$4&lt;$A$13),"I",IF(AND($C$4&gt;=$A$11,$C$4&lt;$A$12),"S",0))))),0)</f>
        <v>0</v>
      </c>
      <c r="C12" s="177">
        <v>0.01</v>
      </c>
      <c r="D12" s="9">
        <v>1.2</v>
      </c>
      <c r="E12" s="181">
        <v>5.0000000000000001E-3</v>
      </c>
      <c r="F12" s="9">
        <v>0.6</v>
      </c>
      <c r="G12" s="181">
        <v>2E-3</v>
      </c>
      <c r="H12" s="9">
        <v>0.3</v>
      </c>
      <c r="I12" s="181">
        <v>1E-3</v>
      </c>
      <c r="J12" s="9">
        <v>0.15</v>
      </c>
    </row>
    <row r="13" spans="1:13" x14ac:dyDescent="0.25">
      <c r="A13" s="177" t="s">
        <v>97</v>
      </c>
      <c r="B13" s="178">
        <f>IF($A$13&lt;&gt;"N.D.",IF($A$12="N.D.",IF(AND($C$4&gt;=$A$13,$C$4&lt;$A$14),"I",0),IF($A$14="N.D.",IF(AND($C$4&gt;=$A$12,$C$4&lt;=$A$13),"S",0),IF($A$15="N.D.",IF(AND($C$4&gt;=$A$13,$C$4&lt;=$A$14),"I",IF(AND($C$4&gt;=$A$12,$C$4&lt;$A$13),"S",0)),IF(AND($C$4&gt;=$A$13,$C$4&lt;$A$14),"I",IF(AND($C$4&gt;=$A$12,$C$4&lt;$A$13),"S",0))))),0)</f>
        <v>0</v>
      </c>
      <c r="C13" s="181">
        <v>0</v>
      </c>
      <c r="D13" s="9">
        <v>0</v>
      </c>
      <c r="E13" s="181">
        <v>0</v>
      </c>
      <c r="F13" s="9">
        <v>0</v>
      </c>
      <c r="G13" s="181">
        <v>0</v>
      </c>
      <c r="H13" s="9">
        <v>0</v>
      </c>
      <c r="I13" s="181">
        <v>0</v>
      </c>
      <c r="J13" s="9">
        <v>0</v>
      </c>
    </row>
    <row r="14" spans="1:13" x14ac:dyDescent="0.25">
      <c r="A14" s="177" t="s">
        <v>97</v>
      </c>
      <c r="B14" s="178">
        <f>IF($A$14&lt;&gt;"N.D.",IF($A$13="N.D.",IF(AND($C$4&gt;=$A$14,$C$4&lt;$A$15),"I",0),IF($A$15="N.D.",IF(AND($C$4&gt;=$A$13,$C$4&lt;=$A$14),"S",0),IF($A$16="N.D.",IF(AND($C$4&gt;=$A$14,$C$4&lt;=$A$15),"I",IF(AND($C$4&gt;=$A$13,$C$4&lt;$A$14),"S",0)),IF(AND($C$4&gt;=$A$14,$C$4&lt;$A$15),"I",IF(AND($C$4&gt;=$A$13,$C$4&lt;$A$14),"S",0))))),0)</f>
        <v>0</v>
      </c>
      <c r="C14" s="181">
        <v>0</v>
      </c>
      <c r="D14" s="9">
        <v>0</v>
      </c>
      <c r="E14" s="181">
        <v>0</v>
      </c>
      <c r="F14" s="9">
        <v>0</v>
      </c>
      <c r="G14" s="181">
        <v>0</v>
      </c>
      <c r="H14" s="9">
        <v>0</v>
      </c>
      <c r="I14" s="181">
        <v>0</v>
      </c>
      <c r="J14" s="9">
        <v>0</v>
      </c>
    </row>
    <row r="15" spans="1:13" x14ac:dyDescent="0.25">
      <c r="A15" s="183" t="s">
        <v>97</v>
      </c>
      <c r="B15" s="184"/>
      <c r="C15" s="184"/>
      <c r="D15" s="184"/>
    </row>
    <row r="16" spans="1:13" x14ac:dyDescent="0.25">
      <c r="A16" s="9" t="s">
        <v>97</v>
      </c>
      <c r="B16" s="7"/>
      <c r="C16" s="7"/>
      <c r="D16" s="7"/>
    </row>
    <row r="17" spans="1:10" x14ac:dyDescent="0.25">
      <c r="A17" s="7"/>
      <c r="B17" s="7"/>
      <c r="C17" s="7"/>
      <c r="D17" s="7"/>
    </row>
    <row r="18" spans="1:10" ht="15.75" x14ac:dyDescent="0.25">
      <c r="B18" s="25"/>
      <c r="C18" s="185" t="s">
        <v>324</v>
      </c>
      <c r="D18" s="23" t="s">
        <v>325</v>
      </c>
      <c r="E18" s="185" t="s">
        <v>324</v>
      </c>
      <c r="F18" s="23" t="s">
        <v>325</v>
      </c>
      <c r="G18" s="185" t="s">
        <v>324</v>
      </c>
      <c r="H18" s="23" t="s">
        <v>325</v>
      </c>
      <c r="I18" s="185" t="s">
        <v>324</v>
      </c>
      <c r="J18" s="23" t="s">
        <v>325</v>
      </c>
    </row>
    <row r="19" spans="1:10" x14ac:dyDescent="0.25">
      <c r="B19" s="186">
        <f>LOOKUP("I",$B$10:$B$14,$A$10:$A$14)</f>
        <v>0.8</v>
      </c>
      <c r="C19" s="187">
        <f t="shared" ref="C19:J19" si="0">LOOKUP("I",$B$10:$B$14,C10:C14)</f>
        <v>0.01</v>
      </c>
      <c r="D19" s="188">
        <f t="shared" si="0"/>
        <v>1.2</v>
      </c>
      <c r="E19" s="189">
        <f t="shared" si="0"/>
        <v>5.0000000000000001E-3</v>
      </c>
      <c r="F19" s="188">
        <f t="shared" si="0"/>
        <v>0.6</v>
      </c>
      <c r="G19" s="187">
        <f t="shared" si="0"/>
        <v>2E-3</v>
      </c>
      <c r="H19" s="188">
        <f t="shared" si="0"/>
        <v>0.3</v>
      </c>
      <c r="I19" s="187">
        <f t="shared" si="0"/>
        <v>1E-3</v>
      </c>
      <c r="J19" s="188">
        <f t="shared" si="0"/>
        <v>0.15</v>
      </c>
    </row>
    <row r="20" spans="1:10" x14ac:dyDescent="0.25">
      <c r="B20" s="190">
        <f>C4</f>
        <v>0.8</v>
      </c>
      <c r="C20" s="191">
        <f t="shared" ref="C20:J20" si="1">($B$20-$B$19)/($B$21-$B$19)*(C21-C19)+C19</f>
        <v>0.01</v>
      </c>
      <c r="D20" s="192">
        <f t="shared" si="1"/>
        <v>1.2</v>
      </c>
      <c r="E20" s="193">
        <f t="shared" si="1"/>
        <v>5.0000000000000001E-3</v>
      </c>
      <c r="F20" s="192">
        <f t="shared" si="1"/>
        <v>0.6</v>
      </c>
      <c r="G20" s="191">
        <f t="shared" si="1"/>
        <v>2E-3</v>
      </c>
      <c r="H20" s="192">
        <f t="shared" si="1"/>
        <v>0.3</v>
      </c>
      <c r="I20" s="191">
        <f t="shared" si="1"/>
        <v>1E-3</v>
      </c>
      <c r="J20" s="192">
        <f t="shared" si="1"/>
        <v>0.15</v>
      </c>
    </row>
    <row r="21" spans="1:10" x14ac:dyDescent="0.25">
      <c r="B21" s="195">
        <f>LOOKUP("S",$B$10:$B$14,$A$10:$A$14)</f>
        <v>1</v>
      </c>
      <c r="C21" s="187">
        <f t="shared" ref="C21:J21" si="2">LOOKUP("S",$B$10:$B$14,C10:C14)</f>
        <v>0.01</v>
      </c>
      <c r="D21" s="188">
        <f t="shared" si="2"/>
        <v>1.2</v>
      </c>
      <c r="E21" s="189">
        <f t="shared" si="2"/>
        <v>5.0000000000000001E-3</v>
      </c>
      <c r="F21" s="188">
        <f t="shared" si="2"/>
        <v>0.6</v>
      </c>
      <c r="G21" s="187">
        <f t="shared" si="2"/>
        <v>2E-3</v>
      </c>
      <c r="H21" s="188">
        <f t="shared" si="2"/>
        <v>0.3</v>
      </c>
      <c r="I21" s="187">
        <f t="shared" si="2"/>
        <v>1E-3</v>
      </c>
      <c r="J21" s="188">
        <f t="shared" si="2"/>
        <v>0.15</v>
      </c>
    </row>
  </sheetData>
  <sheetProtection algorithmName="SHA-512" hashValue="qG/wk7BDGHryiNrRYrZ7sjDrmWQ+8SpVpvimQsqg9Fy6cmAREgPxUHqNewu59FHvM8yEzLIMHAISzGGir516bA==" saltValue="wPkbl4NyBd0SnfMAttEyeQ==" spinCount="100000" sheet="1" objects="1" scenarios="1"/>
  <mergeCells count="4">
    <mergeCell ref="E6:F6"/>
    <mergeCell ref="G6:H6"/>
    <mergeCell ref="I6:J6"/>
    <mergeCell ref="C6:D6"/>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dimension ref="A3:T69"/>
  <sheetViews>
    <sheetView topLeftCell="A21" workbookViewId="0">
      <selection activeCell="Q52" sqref="Q52"/>
    </sheetView>
  </sheetViews>
  <sheetFormatPr defaultRowHeight="12.75" x14ac:dyDescent="0.2"/>
  <cols>
    <col min="1" max="1" width="9.140625" style="16"/>
    <col min="2" max="2" width="29.140625" style="16" customWidth="1"/>
    <col min="3" max="3" width="10.85546875" style="16" customWidth="1"/>
    <col min="4" max="4" width="15.85546875" style="16" customWidth="1"/>
    <col min="5" max="5" width="13.7109375" style="16" customWidth="1"/>
    <col min="6" max="6" width="14.42578125" style="16" customWidth="1"/>
    <col min="7" max="7" width="15.5703125" style="16" customWidth="1"/>
    <col min="8" max="9" width="13.140625" style="16" customWidth="1"/>
    <col min="10" max="10" width="21.42578125" style="16" bestFit="1" customWidth="1"/>
    <col min="11" max="14" width="9.140625" style="16"/>
    <col min="15" max="15" width="9.28515625" style="16" bestFit="1" customWidth="1"/>
    <col min="16" max="16384" width="9.140625" style="16"/>
  </cols>
  <sheetData>
    <row r="3" spans="1:20" x14ac:dyDescent="0.2">
      <c r="B3" s="16" t="s">
        <v>88</v>
      </c>
    </row>
    <row r="5" spans="1:20" x14ac:dyDescent="0.2">
      <c r="B5" s="196" t="s">
        <v>89</v>
      </c>
    </row>
    <row r="6" spans="1:20" x14ac:dyDescent="0.2">
      <c r="B6" s="16" t="s">
        <v>90</v>
      </c>
      <c r="C6" s="197">
        <f>'DATI INGRESSO'!O152</f>
        <v>5</v>
      </c>
      <c r="D6" s="16" t="s">
        <v>20</v>
      </c>
    </row>
    <row r="7" spans="1:20" x14ac:dyDescent="0.2">
      <c r="B7" s="16" t="s">
        <v>91</v>
      </c>
      <c r="C7" s="197">
        <f>'DATI INGRESSO'!O156</f>
        <v>1.56</v>
      </c>
      <c r="D7" s="16" t="s">
        <v>84</v>
      </c>
    </row>
    <row r="8" spans="1:20" x14ac:dyDescent="0.2">
      <c r="B8" s="16" t="s">
        <v>92</v>
      </c>
      <c r="C8" s="192">
        <f>'DATI INGRESSO'!O155</f>
        <v>5</v>
      </c>
      <c r="D8" s="16" t="s">
        <v>84</v>
      </c>
    </row>
    <row r="9" spans="1:20" x14ac:dyDescent="0.2">
      <c r="B9" s="16" t="s">
        <v>93</v>
      </c>
      <c r="C9" s="198">
        <f>C7/C8</f>
        <v>0.312</v>
      </c>
    </row>
    <row r="10" spans="1:20" x14ac:dyDescent="0.2">
      <c r="B10" s="16" t="s">
        <v>94</v>
      </c>
      <c r="C10" s="198">
        <f>IF(C9&lt;E11,E11,IF(C9&gt;G11,G11,C9))</f>
        <v>0.312</v>
      </c>
    </row>
    <row r="11" spans="1:20" x14ac:dyDescent="0.2">
      <c r="C11" s="199"/>
      <c r="D11" s="25" t="s">
        <v>95</v>
      </c>
      <c r="E11" s="200">
        <f>'DATI INGRESSO'!C759</f>
        <v>0.25</v>
      </c>
      <c r="F11" s="192" t="s">
        <v>95</v>
      </c>
      <c r="G11" s="200">
        <f>'DATI INGRESSO'!E759</f>
        <v>1</v>
      </c>
    </row>
    <row r="12" spans="1:20" ht="32.25" customHeight="1" x14ac:dyDescent="0.2">
      <c r="B12" s="23" t="s">
        <v>96</v>
      </c>
      <c r="C12" s="23" t="s">
        <v>87</v>
      </c>
      <c r="D12" s="23" t="s">
        <v>68</v>
      </c>
      <c r="E12" s="23" t="s">
        <v>69</v>
      </c>
      <c r="F12" s="23" t="s">
        <v>68</v>
      </c>
      <c r="G12" s="23" t="s">
        <v>69</v>
      </c>
    </row>
    <row r="13" spans="1:20" ht="15.75" x14ac:dyDescent="0.2">
      <c r="B13" s="23"/>
      <c r="C13" s="23"/>
      <c r="D13" s="23" t="s">
        <v>72</v>
      </c>
      <c r="E13" s="23" t="s">
        <v>73</v>
      </c>
      <c r="F13" s="23" t="s">
        <v>72</v>
      </c>
      <c r="G13" s="23" t="s">
        <v>73</v>
      </c>
      <c r="K13" s="201">
        <f>E11</f>
        <v>0.25</v>
      </c>
      <c r="O13" s="201">
        <f>G11</f>
        <v>1</v>
      </c>
    </row>
    <row r="14" spans="1:20" ht="15.75" x14ac:dyDescent="0.2">
      <c r="B14" s="25" t="s">
        <v>1</v>
      </c>
      <c r="C14" s="25" t="s">
        <v>20</v>
      </c>
      <c r="D14" s="25" t="s">
        <v>1</v>
      </c>
      <c r="E14" s="25" t="s">
        <v>85</v>
      </c>
      <c r="F14" s="25" t="s">
        <v>1</v>
      </c>
      <c r="G14" s="25" t="s">
        <v>85</v>
      </c>
      <c r="K14" s="23" t="s">
        <v>72</v>
      </c>
      <c r="L14" s="23" t="s">
        <v>73</v>
      </c>
      <c r="O14" s="23" t="s">
        <v>72</v>
      </c>
      <c r="P14" s="23" t="s">
        <v>73</v>
      </c>
      <c r="S14" s="23" t="s">
        <v>72</v>
      </c>
      <c r="T14" s="23" t="s">
        <v>73</v>
      </c>
    </row>
    <row r="15" spans="1:20" x14ac:dyDescent="0.2">
      <c r="B15" s="25"/>
      <c r="C15" s="25" t="s">
        <v>97</v>
      </c>
      <c r="D15" s="25"/>
      <c r="E15" s="25"/>
      <c r="F15" s="25"/>
      <c r="G15" s="25"/>
      <c r="K15" s="23"/>
      <c r="L15" s="23"/>
      <c r="O15" s="23"/>
      <c r="P15" s="23"/>
      <c r="S15" s="23"/>
      <c r="T15" s="23"/>
    </row>
    <row r="16" spans="1:20" x14ac:dyDescent="0.2">
      <c r="A16" s="202" t="s">
        <v>98</v>
      </c>
      <c r="B16" s="203">
        <f>'DATI INGRESSO'!A764</f>
        <v>0.05</v>
      </c>
      <c r="C16" s="25">
        <f>IF(B16&gt;0,$C$6*B16,"N.D.")</f>
        <v>0.25</v>
      </c>
      <c r="D16" s="204">
        <f>'DATI INGRESSO'!B764</f>
        <v>5.0000000000000001E-4</v>
      </c>
      <c r="E16" s="205">
        <f>'DATI INGRESSO'!C764</f>
        <v>0.01</v>
      </c>
      <c r="F16" s="204">
        <f>'DATI INGRESSO'!D764</f>
        <v>5.0000000000000001E-4</v>
      </c>
      <c r="G16" s="205">
        <f>'DATI INGRESSO'!E764</f>
        <v>0.01</v>
      </c>
      <c r="H16" s="178">
        <f>IF(C16&lt;&gt;"N.D.",IF(C15="N.D.",IF(AND($C$25&gt;=C16,$C$25&lt;C17),"I",0),IF(C17="N.D.",IF(AND($C$25&gt;=C15,$C$25&lt;=C16),"S",0),IF(C18="N.D.",IF(AND($C$25&gt;=C16,$C$25&lt;=C17),"I",IF(AND($C$25&gt;=C15,$C$25&lt;C16),"S",0)),IF(AND($C$25&gt;=C16,$C$25&lt;C17),"I",IF(AND($C$25&gt;=C15,$C$25&lt;C16),"S",0))))),0)</f>
        <v>0</v>
      </c>
      <c r="I16" s="206"/>
      <c r="J16" s="16">
        <f>LOOKUP("I",H16:H21,C16:C21)</f>
        <v>1</v>
      </c>
      <c r="K16" s="189">
        <f ca="1">LOOKUP("I",H16:H21,D16:D19)</f>
        <v>4.0000000000000002E-4</v>
      </c>
      <c r="L16" s="188">
        <f ca="1">LOOKUP("I",H16:H21,E16:E19)</f>
        <v>0.02</v>
      </c>
      <c r="N16" s="199">
        <f>LOOKUP("I",H16:H21,C16:C21)</f>
        <v>1</v>
      </c>
      <c r="O16" s="189">
        <f ca="1">LOOKUP("I",H16:H21,F16:F19)</f>
        <v>4.0000000000000002E-4</v>
      </c>
      <c r="P16" s="188">
        <f ca="1">LOOKUP("I",H16:H21,G16:G19)</f>
        <v>0.02</v>
      </c>
      <c r="R16" s="207">
        <f>E11</f>
        <v>0.25</v>
      </c>
      <c r="S16" s="189">
        <f ca="1">K17</f>
        <v>3.6225E-4</v>
      </c>
      <c r="T16" s="188">
        <f ca="1">L17</f>
        <v>2.3774999999999998E-2</v>
      </c>
    </row>
    <row r="17" spans="1:20" x14ac:dyDescent="0.2">
      <c r="A17" s="202" t="s">
        <v>99</v>
      </c>
      <c r="B17" s="203">
        <f>'DATI INGRESSO'!A765</f>
        <v>0.2</v>
      </c>
      <c r="C17" s="25">
        <f t="shared" ref="C17:C21" si="0">IF(B17&gt;0,$C$6*B17,"N.D.")</f>
        <v>1</v>
      </c>
      <c r="D17" s="204">
        <f>'DATI INGRESSO'!B765</f>
        <v>4.0000000000000002E-4</v>
      </c>
      <c r="E17" s="205">
        <f>'DATI INGRESSO'!C765</f>
        <v>0.02</v>
      </c>
      <c r="F17" s="204">
        <f>'DATI INGRESSO'!D765</f>
        <v>4.0000000000000002E-4</v>
      </c>
      <c r="G17" s="205">
        <f>'DATI INGRESSO'!E765</f>
        <v>0.02</v>
      </c>
      <c r="H17" s="178" t="str">
        <f t="shared" ref="H17:H21" si="1">IF(C17&lt;&gt;"N.D.",IF(C16="N.D.",IF(AND($C$25&gt;=C17,$C$25&lt;C18),"I",0),IF(C18="N.D.",IF(AND($C$25&gt;=C16,$C$25&lt;=C17),"S",0),IF(C19="N.D.",IF(AND($C$25&gt;=C17,$C$25&lt;=C18),"I",IF(AND($C$25&gt;=C16,$C$25&lt;C17),"S",0)),IF(AND($C$25&gt;=C17,$C$25&lt;C18),"I",IF(AND($C$25&gt;=C16,$C$25&lt;C17),"S",0))))),0)</f>
        <v>I</v>
      </c>
      <c r="I17" s="206"/>
      <c r="J17" s="16">
        <f>C25</f>
        <v>2.5099999999999998</v>
      </c>
      <c r="K17" s="208">
        <f ca="1">(J17-J16)/(J18-J16)*(K18-K16)+K16</f>
        <v>3.6225E-4</v>
      </c>
      <c r="L17" s="192">
        <f ca="1">(J17-J16)/(J18-J16)*(L18-L16)+L16</f>
        <v>2.3774999999999998E-2</v>
      </c>
      <c r="N17" s="16">
        <f>C25</f>
        <v>2.5099999999999998</v>
      </c>
      <c r="O17" s="208">
        <f ca="1">(N17-N16)/(N18-N16)*(O18-O16)+O16</f>
        <v>3.6225E-4</v>
      </c>
      <c r="P17" s="192">
        <f ca="1">(N17-N16)/(N18-N16)*(P18-P16)+P16</f>
        <v>2.3774999999999998E-2</v>
      </c>
      <c r="R17" s="209">
        <f>IF(C9&lt;E11,E11,IF(C9&gt;G11,G11,C9))</f>
        <v>0.312</v>
      </c>
      <c r="S17" s="208">
        <f ca="1">(R17-R16)/(R18-R16)*(S18-S16)+S16</f>
        <v>3.6225E-4</v>
      </c>
      <c r="T17" s="192">
        <f ca="1">(R17-R16)/(R18-R16)*(T18-T16)+T16</f>
        <v>2.3774999999999998E-2</v>
      </c>
    </row>
    <row r="18" spans="1:20" x14ac:dyDescent="0.2">
      <c r="A18" s="202" t="s">
        <v>100</v>
      </c>
      <c r="B18" s="203">
        <f>'DATI INGRESSO'!A766</f>
        <v>1</v>
      </c>
      <c r="C18" s="25">
        <f t="shared" si="0"/>
        <v>5</v>
      </c>
      <c r="D18" s="204">
        <f>'DATI INGRESSO'!B766</f>
        <v>2.9999999999999997E-4</v>
      </c>
      <c r="E18" s="205">
        <f>'DATI INGRESSO'!C766</f>
        <v>0.03</v>
      </c>
      <c r="F18" s="204">
        <f>'DATI INGRESSO'!D766</f>
        <v>2.9999999999999997E-4</v>
      </c>
      <c r="G18" s="205">
        <f>'DATI INGRESSO'!E766</f>
        <v>0.03</v>
      </c>
      <c r="H18" s="178" t="str">
        <f>IF(C18&lt;&gt;"N.D.",IF(C17="N.D.",IF(AND($C$25&gt;=C18,$C$25&lt;C19),"I",0),IF(C19="N.D.",IF(AND($C$25&gt;=C17,$C$25&lt;=C18),"S",0),IF(C20="N.D.",IF(AND($C$25&gt;=C18,$C$25&lt;=C19),"I",IF(AND($C$25&gt;=C17,$C$25&lt;C18),"S",0)),IF(AND($C$25&gt;=C18,$C$25&lt;C19),"I",IF(AND($C$25&gt;=C17,$C$25&lt;C18),"S",0))))),0)</f>
        <v>S</v>
      </c>
      <c r="I18" s="206"/>
      <c r="J18" s="16">
        <f>LOOKUP("S",H16:H21,C16:C21)</f>
        <v>5</v>
      </c>
      <c r="K18" s="189">
        <f ca="1">LOOKUP("S",H16:H21,D16:D19)</f>
        <v>2.9999999999999997E-4</v>
      </c>
      <c r="L18" s="188">
        <f ca="1">LOOKUP("S",H16:H21,E16:E19)</f>
        <v>0.03</v>
      </c>
      <c r="N18" s="199">
        <f>LOOKUP("S",H16:H21,C16:C21)</f>
        <v>5</v>
      </c>
      <c r="O18" s="189">
        <f ca="1">LOOKUP("S",H16:H21,F16:F19)</f>
        <v>2.9999999999999997E-4</v>
      </c>
      <c r="P18" s="188">
        <f ca="1">LOOKUP("S",H16:H21,G16:G19)</f>
        <v>0.03</v>
      </c>
      <c r="R18" s="207">
        <f>G11</f>
        <v>1</v>
      </c>
      <c r="S18" s="189">
        <f ca="1">O17</f>
        <v>3.6225E-4</v>
      </c>
      <c r="T18" s="188">
        <f ca="1">P17</f>
        <v>2.3774999999999998E-2</v>
      </c>
    </row>
    <row r="19" spans="1:20" x14ac:dyDescent="0.2">
      <c r="A19" s="202" t="s">
        <v>101</v>
      </c>
      <c r="B19" s="203">
        <f>'DATI INGRESSO'!A767</f>
        <v>1.2</v>
      </c>
      <c r="C19" s="25">
        <f t="shared" si="0"/>
        <v>6</v>
      </c>
      <c r="D19" s="204">
        <f>'DATI INGRESSO'!B767</f>
        <v>1E-4</v>
      </c>
      <c r="E19" s="205">
        <f>'DATI INGRESSO'!C767</f>
        <v>0.04</v>
      </c>
      <c r="F19" s="204">
        <f>'DATI INGRESSO'!D767</f>
        <v>1E-4</v>
      </c>
      <c r="G19" s="205">
        <f>'DATI INGRESSO'!E767</f>
        <v>0.04</v>
      </c>
      <c r="H19" s="178">
        <f t="shared" si="1"/>
        <v>0</v>
      </c>
      <c r="I19" s="206"/>
    </row>
    <row r="20" spans="1:20" x14ac:dyDescent="0.2">
      <c r="A20" s="202" t="s">
        <v>102</v>
      </c>
      <c r="B20" s="203">
        <f>'DATI INGRESSO'!A768</f>
        <v>0</v>
      </c>
      <c r="C20" s="25" t="str">
        <f t="shared" si="0"/>
        <v>N.D.</v>
      </c>
      <c r="D20" s="204">
        <f>'DATI INGRESSO'!B768</f>
        <v>0</v>
      </c>
      <c r="E20" s="205">
        <f>'DATI INGRESSO'!C768</f>
        <v>0</v>
      </c>
      <c r="F20" s="204">
        <f>'DATI INGRESSO'!D768</f>
        <v>0</v>
      </c>
      <c r="G20" s="205">
        <f>'DATI INGRESSO'!E768</f>
        <v>0</v>
      </c>
      <c r="H20" s="178">
        <f t="shared" si="1"/>
        <v>0</v>
      </c>
      <c r="I20" s="206"/>
    </row>
    <row r="21" spans="1:20" x14ac:dyDescent="0.2">
      <c r="A21" s="202" t="s">
        <v>103</v>
      </c>
      <c r="B21" s="203">
        <f>'DATI INGRESSO'!A769</f>
        <v>0</v>
      </c>
      <c r="C21" s="25" t="str">
        <f t="shared" si="0"/>
        <v>N.D.</v>
      </c>
      <c r="D21" s="204">
        <f>'DATI INGRESSO'!B769</f>
        <v>0</v>
      </c>
      <c r="E21" s="205">
        <f>'DATI INGRESSO'!C769</f>
        <v>0</v>
      </c>
      <c r="F21" s="204">
        <f>'DATI INGRESSO'!D769</f>
        <v>0</v>
      </c>
      <c r="G21" s="205">
        <f>'DATI INGRESSO'!E769</f>
        <v>0</v>
      </c>
      <c r="H21" s="178">
        <f t="shared" si="1"/>
        <v>0</v>
      </c>
      <c r="I21" s="206"/>
    </row>
    <row r="22" spans="1:20" x14ac:dyDescent="0.2">
      <c r="A22" s="210"/>
      <c r="B22" s="211"/>
      <c r="C22" s="188" t="s">
        <v>97</v>
      </c>
      <c r="D22" s="212"/>
      <c r="E22" s="213"/>
      <c r="F22" s="212"/>
      <c r="G22" s="213"/>
      <c r="H22" s="206"/>
      <c r="I22" s="206"/>
    </row>
    <row r="23" spans="1:20" x14ac:dyDescent="0.2">
      <c r="A23" s="199"/>
      <c r="B23" s="199"/>
      <c r="C23" s="188" t="s">
        <v>97</v>
      </c>
      <c r="D23" s="199"/>
      <c r="E23" s="199"/>
      <c r="F23" s="199"/>
      <c r="G23" s="199"/>
    </row>
    <row r="24" spans="1:20" ht="15" x14ac:dyDescent="0.25">
      <c r="B24" s="214" t="s">
        <v>104</v>
      </c>
      <c r="C24" s="215">
        <f>'VALUT. GLOBALE'!E10</f>
        <v>2.5099999999999998</v>
      </c>
      <c r="D24" s="216" t="s">
        <v>68</v>
      </c>
      <c r="E24" s="216" t="s">
        <v>223</v>
      </c>
    </row>
    <row r="25" spans="1:20" ht="15" x14ac:dyDescent="0.25">
      <c r="B25" s="214" t="s">
        <v>105</v>
      </c>
      <c r="C25" s="217">
        <f>IF(C24&lt;=MIN(C16:C21),MIN(C16:C21),IF(C24&gt;=MAX(C16:C21),MAX(C16:C21),C24))</f>
        <v>2.5099999999999998</v>
      </c>
      <c r="D25" s="218">
        <f ca="1">(S17)</f>
        <v>3.6225E-4</v>
      </c>
      <c r="E25" s="219">
        <f ca="1">(T17)</f>
        <v>2.3774999999999998E-2</v>
      </c>
    </row>
    <row r="27" spans="1:20" x14ac:dyDescent="0.2">
      <c r="B27" s="196" t="s">
        <v>106</v>
      </c>
    </row>
    <row r="28" spans="1:20" x14ac:dyDescent="0.2">
      <c r="B28" s="16" t="s">
        <v>90</v>
      </c>
      <c r="C28" s="197">
        <f>'DATI INGRESSO'!O152</f>
        <v>5</v>
      </c>
      <c r="D28" s="16" t="s">
        <v>20</v>
      </c>
    </row>
    <row r="29" spans="1:20" x14ac:dyDescent="0.2">
      <c r="B29" s="16" t="s">
        <v>91</v>
      </c>
      <c r="C29" s="197">
        <f>'DATI INGRESSO'!O157</f>
        <v>1.62</v>
      </c>
      <c r="D29" s="16" t="s">
        <v>84</v>
      </c>
    </row>
    <row r="30" spans="1:20" x14ac:dyDescent="0.2">
      <c r="B30" s="16" t="s">
        <v>92</v>
      </c>
      <c r="C30" s="197">
        <f>'DATI INGRESSO'!O155</f>
        <v>5</v>
      </c>
      <c r="D30" s="16" t="s">
        <v>84</v>
      </c>
    </row>
    <row r="31" spans="1:20" x14ac:dyDescent="0.2">
      <c r="B31" s="16" t="s">
        <v>93</v>
      </c>
      <c r="C31" s="198">
        <f>C29/C30</f>
        <v>0.32400000000000001</v>
      </c>
    </row>
    <row r="32" spans="1:20" x14ac:dyDescent="0.2">
      <c r="B32" s="16" t="s">
        <v>94</v>
      </c>
      <c r="C32" s="198">
        <f>IF(C31&lt;E33,E33,IF(C31&gt;G33,G33,C31))</f>
        <v>0.32400000000000001</v>
      </c>
    </row>
    <row r="33" spans="2:20" x14ac:dyDescent="0.2">
      <c r="C33" s="199"/>
      <c r="D33" s="21" t="s">
        <v>95</v>
      </c>
      <c r="E33" s="220">
        <f>'DATI INGRESSO'!C771</f>
        <v>0.25</v>
      </c>
      <c r="F33" s="21" t="s">
        <v>95</v>
      </c>
      <c r="G33" s="220">
        <f>'DATI INGRESSO'!E771</f>
        <v>1</v>
      </c>
    </row>
    <row r="34" spans="2:20" ht="25.5" x14ac:dyDescent="0.2">
      <c r="B34" s="23" t="s">
        <v>96</v>
      </c>
      <c r="C34" s="23" t="s">
        <v>87</v>
      </c>
      <c r="D34" s="23" t="s">
        <v>68</v>
      </c>
      <c r="E34" s="23" t="s">
        <v>69</v>
      </c>
      <c r="F34" s="23" t="s">
        <v>68</v>
      </c>
      <c r="G34" s="23" t="s">
        <v>69</v>
      </c>
    </row>
    <row r="35" spans="2:20" ht="15.75" x14ac:dyDescent="0.2">
      <c r="B35" s="23"/>
      <c r="C35" s="23"/>
      <c r="D35" s="23" t="s">
        <v>74</v>
      </c>
      <c r="E35" s="23" t="s">
        <v>75</v>
      </c>
      <c r="F35" s="23" t="s">
        <v>74</v>
      </c>
      <c r="G35" s="23" t="s">
        <v>75</v>
      </c>
      <c r="K35" s="201">
        <f>E33</f>
        <v>0.25</v>
      </c>
      <c r="O35" s="201">
        <f>G33</f>
        <v>1</v>
      </c>
    </row>
    <row r="36" spans="2:20" ht="15.75" x14ac:dyDescent="0.2">
      <c r="B36" s="25" t="s">
        <v>1</v>
      </c>
      <c r="C36" s="25" t="s">
        <v>20</v>
      </c>
      <c r="D36" s="25" t="s">
        <v>1</v>
      </c>
      <c r="E36" s="25" t="s">
        <v>85</v>
      </c>
      <c r="F36" s="25" t="s">
        <v>1</v>
      </c>
      <c r="G36" s="25" t="s">
        <v>85</v>
      </c>
      <c r="K36" s="23" t="s">
        <v>72</v>
      </c>
      <c r="L36" s="23" t="s">
        <v>73</v>
      </c>
      <c r="O36" s="23" t="s">
        <v>72</v>
      </c>
      <c r="P36" s="23" t="s">
        <v>73</v>
      </c>
      <c r="S36" s="23" t="s">
        <v>72</v>
      </c>
      <c r="T36" s="23" t="s">
        <v>73</v>
      </c>
    </row>
    <row r="37" spans="2:20" x14ac:dyDescent="0.2">
      <c r="B37" s="25"/>
      <c r="C37" s="25" t="s">
        <v>97</v>
      </c>
      <c r="D37" s="25"/>
      <c r="E37" s="25"/>
      <c r="F37" s="25"/>
      <c r="G37" s="25"/>
      <c r="K37" s="23"/>
      <c r="L37" s="23"/>
      <c r="O37" s="23"/>
      <c r="P37" s="23"/>
      <c r="S37" s="23"/>
      <c r="T37" s="23"/>
    </row>
    <row r="38" spans="2:20" x14ac:dyDescent="0.2">
      <c r="B38" s="203">
        <f>'DATI INGRESSO'!A776</f>
        <v>0.05</v>
      </c>
      <c r="C38" s="25">
        <f>IF(B38&gt;0,$C$28*B38,"N.D.")</f>
        <v>0.25</v>
      </c>
      <c r="D38" s="204">
        <f>'DATI INGRESSO'!B776</f>
        <v>5.0000000000000001E-4</v>
      </c>
      <c r="E38" s="205">
        <f>'DATI INGRESSO'!C776</f>
        <v>0.01</v>
      </c>
      <c r="F38" s="204">
        <f>'DATI INGRESSO'!D776</f>
        <v>5.0000000000000001E-4</v>
      </c>
      <c r="G38" s="205">
        <f>'DATI INGRESSO'!E776</f>
        <v>0.01</v>
      </c>
      <c r="H38" s="178">
        <f t="shared" ref="H38:H43" si="2">IF(C38&lt;&gt;"N.D.",IF(C37="N.D.",IF(AND($C$47&gt;=C38,$C$47&lt;C39),"I",0),IF(C39="N.D.",IF(AND($C$47&gt;=C37,$C$47&lt;=C38),"S",0),IF(C40="N.D.",IF(AND($C$47&gt;=C38,$C$47&lt;=C39),"I",IF(AND($C$47&gt;=C37,$C$47&lt;C38),"S",0)),IF(AND($C$47&gt;=C38,$C$47&lt;C39),"I",IF(AND($C$47&gt;=C37,$C$47&lt;C38),"S",0))))),0)</f>
        <v>0</v>
      </c>
      <c r="I38" s="221"/>
      <c r="J38" s="199">
        <f>LOOKUP("I",H38:H43,C38:C43)</f>
        <v>1</v>
      </c>
      <c r="K38" s="189">
        <f ca="1">LOOKUP("I",H38:H43,D38:D41)</f>
        <v>4.0000000000000002E-4</v>
      </c>
      <c r="L38" s="188">
        <f ca="1">LOOKUP("I",H38:H43,E38:E41)</f>
        <v>0.02</v>
      </c>
      <c r="N38" s="199">
        <f>LOOKUP("I",H38:H43,C38:C43)</f>
        <v>1</v>
      </c>
      <c r="O38" s="189">
        <f ca="1">LOOKUP("I",H38:H43,F38:F41)</f>
        <v>4.0000000000000002E-4</v>
      </c>
      <c r="P38" s="188">
        <f ca="1">LOOKUP("I",H38:H43,G38:G41)</f>
        <v>0.02</v>
      </c>
      <c r="R38" s="207">
        <f>E33</f>
        <v>0.25</v>
      </c>
      <c r="S38" s="189">
        <f ca="1">K39</f>
        <v>3.6200000000000002E-4</v>
      </c>
      <c r="T38" s="188">
        <f ca="1">L39</f>
        <v>2.3800000000000002E-2</v>
      </c>
    </row>
    <row r="39" spans="2:20" x14ac:dyDescent="0.2">
      <c r="B39" s="203">
        <f>'DATI INGRESSO'!A777</f>
        <v>0.2</v>
      </c>
      <c r="C39" s="25">
        <f t="shared" ref="C39:C43" si="3">IF(B39&gt;0,$C$28*B39,"N.D.")</f>
        <v>1</v>
      </c>
      <c r="D39" s="204">
        <f>'DATI INGRESSO'!B777</f>
        <v>4.0000000000000002E-4</v>
      </c>
      <c r="E39" s="205">
        <f>'DATI INGRESSO'!C777</f>
        <v>0.02</v>
      </c>
      <c r="F39" s="204">
        <f>'DATI INGRESSO'!D777</f>
        <v>4.0000000000000002E-4</v>
      </c>
      <c r="G39" s="205">
        <f>'DATI INGRESSO'!E777</f>
        <v>0.02</v>
      </c>
      <c r="H39" s="178" t="str">
        <f t="shared" si="2"/>
        <v>I</v>
      </c>
      <c r="I39" s="221"/>
      <c r="J39" s="16">
        <f>C47</f>
        <v>2.52</v>
      </c>
      <c r="K39" s="208">
        <f ca="1">(J39-J38)/(J40-J38)*(K40-K38)+K38</f>
        <v>3.6200000000000002E-4</v>
      </c>
      <c r="L39" s="192">
        <f ca="1">(J39-J38)/(J40-J38)*(L40-L38)+L38</f>
        <v>2.3800000000000002E-2</v>
      </c>
      <c r="N39" s="16">
        <f>C47</f>
        <v>2.52</v>
      </c>
      <c r="O39" s="208">
        <f ca="1">(N39-N38)/(N40-N38)*(O40-O38)+O38</f>
        <v>3.6200000000000002E-4</v>
      </c>
      <c r="P39" s="192">
        <f ca="1">(N39-N38)/(N40-N38)*(P40-P38)+P38</f>
        <v>2.3800000000000002E-2</v>
      </c>
      <c r="R39" s="209">
        <f>C32</f>
        <v>0.32400000000000001</v>
      </c>
      <c r="S39" s="208">
        <f ca="1">(R39-R38)/(R40-R38)*(S40-S38)+S38</f>
        <v>3.6200000000000002E-4</v>
      </c>
      <c r="T39" s="192">
        <f ca="1">(R39-R38)/(R40-R38)*(T40-T38)+T38</f>
        <v>2.3800000000000002E-2</v>
      </c>
    </row>
    <row r="40" spans="2:20" x14ac:dyDescent="0.2">
      <c r="B40" s="203">
        <f>'DATI INGRESSO'!A778</f>
        <v>1</v>
      </c>
      <c r="C40" s="25">
        <f t="shared" si="3"/>
        <v>5</v>
      </c>
      <c r="D40" s="204">
        <f>'DATI INGRESSO'!B778</f>
        <v>2.9999999999999997E-4</v>
      </c>
      <c r="E40" s="205">
        <f>'DATI INGRESSO'!C778</f>
        <v>0.03</v>
      </c>
      <c r="F40" s="204">
        <f>'DATI INGRESSO'!D778</f>
        <v>2.9999999999999997E-4</v>
      </c>
      <c r="G40" s="205">
        <f>'DATI INGRESSO'!E778</f>
        <v>0.03</v>
      </c>
      <c r="H40" s="178" t="str">
        <f t="shared" si="2"/>
        <v>S</v>
      </c>
      <c r="I40" s="221"/>
      <c r="J40" s="199">
        <f>LOOKUP("S",H38:H43,C38:C43)</f>
        <v>5</v>
      </c>
      <c r="K40" s="189">
        <f ca="1">LOOKUP("S",H38:H43,D38:D41)</f>
        <v>2.9999999999999997E-4</v>
      </c>
      <c r="L40" s="188">
        <f ca="1">LOOKUP("S",H38:H43,E38:E41)</f>
        <v>0.03</v>
      </c>
      <c r="N40" s="199">
        <f>LOOKUP("S",H38:H43,C38:C43)</f>
        <v>5</v>
      </c>
      <c r="O40" s="189">
        <f ca="1">LOOKUP("S",H38:H43,F38:F41)</f>
        <v>2.9999999999999997E-4</v>
      </c>
      <c r="P40" s="188">
        <f ca="1">LOOKUP("S",H38:H43,G38:G41)</f>
        <v>0.03</v>
      </c>
      <c r="R40" s="207">
        <f>G33</f>
        <v>1</v>
      </c>
      <c r="S40" s="189">
        <f ca="1">O39</f>
        <v>3.6200000000000002E-4</v>
      </c>
      <c r="T40" s="188">
        <f ca="1">P39</f>
        <v>2.3800000000000002E-2</v>
      </c>
    </row>
    <row r="41" spans="2:20" x14ac:dyDescent="0.2">
      <c r="B41" s="203">
        <f>'DATI INGRESSO'!A779</f>
        <v>1.2</v>
      </c>
      <c r="C41" s="25">
        <f t="shared" si="3"/>
        <v>6</v>
      </c>
      <c r="D41" s="204">
        <f>'DATI INGRESSO'!B779</f>
        <v>1E-4</v>
      </c>
      <c r="E41" s="205">
        <f>'DATI INGRESSO'!C779</f>
        <v>0.04</v>
      </c>
      <c r="F41" s="204">
        <f>'DATI INGRESSO'!D779</f>
        <v>1E-4</v>
      </c>
      <c r="G41" s="205">
        <f>'DATI INGRESSO'!E779</f>
        <v>0.04</v>
      </c>
      <c r="H41" s="178">
        <f t="shared" si="2"/>
        <v>0</v>
      </c>
      <c r="I41" s="221"/>
    </row>
    <row r="42" spans="2:20" x14ac:dyDescent="0.2">
      <c r="B42" s="203">
        <f>'DATI INGRESSO'!A780</f>
        <v>0</v>
      </c>
      <c r="C42" s="25" t="str">
        <f t="shared" si="3"/>
        <v>N.D.</v>
      </c>
      <c r="D42" s="204">
        <f>'DATI INGRESSO'!B780</f>
        <v>0</v>
      </c>
      <c r="E42" s="205">
        <f>'DATI INGRESSO'!C780</f>
        <v>0</v>
      </c>
      <c r="F42" s="204">
        <f>'DATI INGRESSO'!D780</f>
        <v>0</v>
      </c>
      <c r="G42" s="205">
        <f>'DATI INGRESSO'!E780</f>
        <v>0</v>
      </c>
      <c r="H42" s="178">
        <f t="shared" si="2"/>
        <v>0</v>
      </c>
      <c r="I42" s="221"/>
    </row>
    <row r="43" spans="2:20" x14ac:dyDescent="0.2">
      <c r="B43" s="203">
        <f>'DATI INGRESSO'!A781</f>
        <v>0</v>
      </c>
      <c r="C43" s="25" t="str">
        <f t="shared" si="3"/>
        <v>N.D.</v>
      </c>
      <c r="D43" s="204">
        <f>'DATI INGRESSO'!B781</f>
        <v>0</v>
      </c>
      <c r="E43" s="205">
        <f>'DATI INGRESSO'!C781</f>
        <v>0</v>
      </c>
      <c r="F43" s="204">
        <f>'DATI INGRESSO'!D781</f>
        <v>0</v>
      </c>
      <c r="G43" s="205">
        <f>'DATI INGRESSO'!E781</f>
        <v>0</v>
      </c>
      <c r="H43" s="178">
        <f t="shared" si="2"/>
        <v>0</v>
      </c>
      <c r="I43" s="221"/>
    </row>
    <row r="44" spans="2:20" x14ac:dyDescent="0.2">
      <c r="B44" s="222"/>
      <c r="C44" s="188" t="s">
        <v>97</v>
      </c>
      <c r="D44" s="223"/>
      <c r="E44" s="224"/>
      <c r="F44" s="223"/>
      <c r="G44" s="224"/>
      <c r="H44" s="221"/>
      <c r="I44" s="221"/>
    </row>
    <row r="45" spans="2:20" x14ac:dyDescent="0.2">
      <c r="C45" s="188" t="s">
        <v>97</v>
      </c>
      <c r="J45" s="225"/>
      <c r="K45" s="226"/>
      <c r="L45" s="225"/>
      <c r="M45" s="226"/>
    </row>
    <row r="46" spans="2:20" ht="15" x14ac:dyDescent="0.25">
      <c r="B46" s="214" t="s">
        <v>104</v>
      </c>
      <c r="C46" s="215">
        <f>'VALUT. GLOBALE'!E11</f>
        <v>2.52</v>
      </c>
      <c r="J46" s="225"/>
      <c r="K46" s="226"/>
      <c r="L46" s="225"/>
      <c r="M46" s="226"/>
    </row>
    <row r="47" spans="2:20" ht="15" x14ac:dyDescent="0.25">
      <c r="B47" s="214" t="s">
        <v>105</v>
      </c>
      <c r="C47" s="217">
        <f>IF(C46&lt;=MIN(C38:C43),MIN(C38:C43),IF(C46&gt;=MAX(C38:C43),MAX(C38:C43),C46))</f>
        <v>2.52</v>
      </c>
      <c r="D47" s="218">
        <f ca="1">(S39)</f>
        <v>3.6200000000000002E-4</v>
      </c>
      <c r="E47" s="219">
        <f ca="1">(T39)</f>
        <v>2.3800000000000002E-2</v>
      </c>
      <c r="J47" s="225"/>
      <c r="K47" s="226"/>
      <c r="L47" s="225"/>
      <c r="M47" s="226"/>
    </row>
    <row r="48" spans="2:20" x14ac:dyDescent="0.2">
      <c r="J48" s="225"/>
      <c r="K48" s="226"/>
      <c r="L48" s="225"/>
      <c r="M48" s="226"/>
    </row>
    <row r="49" spans="2:20" x14ac:dyDescent="0.2">
      <c r="B49" s="196" t="s">
        <v>107</v>
      </c>
      <c r="J49" s="225"/>
      <c r="K49" s="226"/>
      <c r="L49" s="225"/>
      <c r="M49" s="226"/>
    </row>
    <row r="50" spans="2:20" x14ac:dyDescent="0.2">
      <c r="B50" s="16" t="s">
        <v>90</v>
      </c>
      <c r="C50" s="197">
        <f>'DATI INGRESSO'!O152</f>
        <v>5</v>
      </c>
      <c r="D50" s="16" t="s">
        <v>20</v>
      </c>
      <c r="J50" s="225"/>
      <c r="K50" s="226"/>
      <c r="L50" s="225"/>
      <c r="M50" s="226"/>
    </row>
    <row r="51" spans="2:20" x14ac:dyDescent="0.2">
      <c r="B51" s="16" t="s">
        <v>91</v>
      </c>
      <c r="C51" s="197">
        <f>'DATI INGRESSO'!O158</f>
        <v>1.61</v>
      </c>
      <c r="D51" s="16" t="s">
        <v>84</v>
      </c>
    </row>
    <row r="52" spans="2:20" x14ac:dyDescent="0.2">
      <c r="B52" s="16" t="s">
        <v>92</v>
      </c>
      <c r="C52" s="197">
        <f>'DATI INGRESSO'!O155</f>
        <v>5</v>
      </c>
      <c r="D52" s="16" t="s">
        <v>84</v>
      </c>
    </row>
    <row r="53" spans="2:20" x14ac:dyDescent="0.2">
      <c r="B53" s="16" t="s">
        <v>93</v>
      </c>
      <c r="C53" s="198">
        <f>C51/C52</f>
        <v>0.32200000000000001</v>
      </c>
    </row>
    <row r="54" spans="2:20" x14ac:dyDescent="0.2">
      <c r="B54" s="16" t="s">
        <v>94</v>
      </c>
      <c r="C54" s="198">
        <f>IF(C53&lt;E55,E55,IF(C53&gt;G55,G55,C53))</f>
        <v>0.32200000000000001</v>
      </c>
    </row>
    <row r="55" spans="2:20" x14ac:dyDescent="0.2">
      <c r="B55" s="197"/>
      <c r="C55" s="197"/>
      <c r="D55" s="227" t="s">
        <v>95</v>
      </c>
      <c r="E55" s="220">
        <f>'DATI INGRESSO'!C783</f>
        <v>0.25</v>
      </c>
      <c r="F55" s="227" t="s">
        <v>95</v>
      </c>
      <c r="G55" s="220">
        <f>'DATI INGRESSO'!E783</f>
        <v>1</v>
      </c>
    </row>
    <row r="56" spans="2:20" ht="25.5" x14ac:dyDescent="0.2">
      <c r="B56" s="228" t="s">
        <v>96</v>
      </c>
      <c r="C56" s="228" t="s">
        <v>87</v>
      </c>
      <c r="D56" s="228" t="s">
        <v>68</v>
      </c>
      <c r="E56" s="228" t="s">
        <v>69</v>
      </c>
      <c r="F56" s="228" t="s">
        <v>68</v>
      </c>
      <c r="G56" s="228" t="s">
        <v>69</v>
      </c>
    </row>
    <row r="57" spans="2:20" ht="15.75" x14ac:dyDescent="0.2">
      <c r="B57" s="228"/>
      <c r="C57" s="228"/>
      <c r="D57" s="228" t="s">
        <v>76</v>
      </c>
      <c r="E57" s="228" t="s">
        <v>77</v>
      </c>
      <c r="F57" s="228" t="s">
        <v>74</v>
      </c>
      <c r="G57" s="228" t="s">
        <v>75</v>
      </c>
      <c r="K57" s="201">
        <f>E55</f>
        <v>0.25</v>
      </c>
      <c r="O57" s="201">
        <f>G55</f>
        <v>1</v>
      </c>
    </row>
    <row r="58" spans="2:20" ht="15.75" x14ac:dyDescent="0.2">
      <c r="B58" s="192" t="s">
        <v>1</v>
      </c>
      <c r="C58" s="192" t="s">
        <v>20</v>
      </c>
      <c r="D58" s="192" t="s">
        <v>1</v>
      </c>
      <c r="E58" s="192" t="s">
        <v>85</v>
      </c>
      <c r="F58" s="192" t="s">
        <v>1</v>
      </c>
      <c r="G58" s="192" t="s">
        <v>85</v>
      </c>
      <c r="K58" s="23" t="s">
        <v>72</v>
      </c>
      <c r="L58" s="23" t="s">
        <v>73</v>
      </c>
      <c r="O58" s="23" t="s">
        <v>72</v>
      </c>
      <c r="P58" s="23" t="s">
        <v>73</v>
      </c>
      <c r="S58" s="23" t="s">
        <v>72</v>
      </c>
      <c r="T58" s="23" t="s">
        <v>73</v>
      </c>
    </row>
    <row r="59" spans="2:20" x14ac:dyDescent="0.2">
      <c r="B59" s="192"/>
      <c r="C59" s="192" t="s">
        <v>97</v>
      </c>
      <c r="D59" s="192"/>
      <c r="E59" s="192"/>
      <c r="F59" s="192"/>
      <c r="G59" s="192"/>
      <c r="K59" s="23"/>
      <c r="L59" s="23"/>
      <c r="O59" s="23"/>
      <c r="P59" s="23"/>
      <c r="S59" s="23"/>
      <c r="T59" s="23"/>
    </row>
    <row r="60" spans="2:20" x14ac:dyDescent="0.2">
      <c r="B60" s="203">
        <f>'DATI INGRESSO'!A788</f>
        <v>0.05</v>
      </c>
      <c r="C60" s="192">
        <f>IF(B60&gt;0,$C$50*B60,"N.D.")</f>
        <v>0.25</v>
      </c>
      <c r="D60" s="204">
        <f>'DATI INGRESSO'!B788</f>
        <v>5.0000000000000001E-4</v>
      </c>
      <c r="E60" s="229">
        <f>'DATI INGRESSO'!C788</f>
        <v>0.01</v>
      </c>
      <c r="F60" s="204">
        <f>'DATI INGRESSO'!D788</f>
        <v>5.0000000000000001E-4</v>
      </c>
      <c r="G60" s="229">
        <f>'DATI INGRESSO'!E788</f>
        <v>0.01</v>
      </c>
      <c r="H60" s="178">
        <f t="shared" ref="H60:H65" si="4">IF(C60&lt;&gt;"N.D.",IF(C59="N.D.",IF(AND($C$69&gt;=C60,$C$69&lt;C61),"I",0),IF(C61="N.D.",IF(AND($C$69&gt;=C59,$C$69&lt;=C60),"S",0),IF(C62="N.D.",IF(AND($C$69&gt;=C60,$C$69&lt;=C61),"I",IF(AND($C$69&gt;=C59,$C$69&lt;C60),"S",0)),IF(AND($C$69&gt;=C60,$C$69&lt;C61),"I",IF(AND($C$69&gt;=C59,$C$69&lt;C60),"S",0))))),0)</f>
        <v>0</v>
      </c>
      <c r="I60" s="221"/>
      <c r="J60" s="199">
        <f>LOOKUP("I",H60:H65,C60:C65)</f>
        <v>1</v>
      </c>
      <c r="K60" s="189">
        <f ca="1">LOOKUP("I",H60:H65,D60:D63)</f>
        <v>4.0000000000000002E-4</v>
      </c>
      <c r="L60" s="188">
        <f ca="1">LOOKUP("I",H60:H65,E60:E63)</f>
        <v>0.02</v>
      </c>
      <c r="N60" s="199">
        <f>LOOKUP("I",H60:H65,C60:C65)</f>
        <v>1</v>
      </c>
      <c r="O60" s="189">
        <f ca="1">LOOKUP("I",H60:H65,F60:F63)</f>
        <v>4.0000000000000002E-4</v>
      </c>
      <c r="P60" s="188">
        <f ca="1">LOOKUP("I",H60:H65,G60:G63)</f>
        <v>0.02</v>
      </c>
      <c r="R60" s="207">
        <f>E55</f>
        <v>0.25</v>
      </c>
      <c r="S60" s="189">
        <f ca="1">K61</f>
        <v>3.6174999999999998E-4</v>
      </c>
      <c r="T60" s="188">
        <f ca="1">L61</f>
        <v>2.3824999999999999E-2</v>
      </c>
    </row>
    <row r="61" spans="2:20" x14ac:dyDescent="0.2">
      <c r="B61" s="203">
        <f>'DATI INGRESSO'!A789</f>
        <v>0.2</v>
      </c>
      <c r="C61" s="192">
        <f t="shared" ref="C61:C64" si="5">IF(B61&gt;0,$C$50*B61,"N.D.")</f>
        <v>1</v>
      </c>
      <c r="D61" s="204">
        <f>'DATI INGRESSO'!B789</f>
        <v>4.0000000000000002E-4</v>
      </c>
      <c r="E61" s="229">
        <f>'DATI INGRESSO'!C789</f>
        <v>0.02</v>
      </c>
      <c r="F61" s="204">
        <f>'DATI INGRESSO'!D789</f>
        <v>4.0000000000000002E-4</v>
      </c>
      <c r="G61" s="229">
        <f>'DATI INGRESSO'!E789</f>
        <v>0.02</v>
      </c>
      <c r="H61" s="178" t="str">
        <f t="shared" si="4"/>
        <v>I</v>
      </c>
      <c r="I61" s="221"/>
      <c r="J61" s="16">
        <f>C69</f>
        <v>2.5299999999999998</v>
      </c>
      <c r="K61" s="208">
        <f ca="1">(J61-J60)/(J62-J60)*(K62-K60)+K60</f>
        <v>3.6174999999999998E-4</v>
      </c>
      <c r="L61" s="192">
        <f ca="1">(J61-J60)/(J62-J60)*(L62-L60)+L60</f>
        <v>2.3824999999999999E-2</v>
      </c>
      <c r="N61" s="16">
        <f>C69</f>
        <v>2.5299999999999998</v>
      </c>
      <c r="O61" s="208">
        <f ca="1">(N61-N60)/(N62-N60)*(O62-O60)+O60</f>
        <v>3.6174999999999998E-4</v>
      </c>
      <c r="P61" s="192">
        <f ca="1">(N61-N60)/(N62-N60)*(P62-P60)+P60</f>
        <v>2.3824999999999999E-2</v>
      </c>
      <c r="R61" s="209">
        <f>C54</f>
        <v>0.32200000000000001</v>
      </c>
      <c r="S61" s="208">
        <f ca="1">(R61-R60)/(R62-R60)*(S62-S60)+S60</f>
        <v>3.6174999999999998E-4</v>
      </c>
      <c r="T61" s="192">
        <f ca="1">(R61-R60)/(R62-R60)*(T62-T60)+T60</f>
        <v>2.3824999999999999E-2</v>
      </c>
    </row>
    <row r="62" spans="2:20" x14ac:dyDescent="0.2">
      <c r="B62" s="203">
        <f>'DATI INGRESSO'!A790</f>
        <v>1</v>
      </c>
      <c r="C62" s="192">
        <f t="shared" si="5"/>
        <v>5</v>
      </c>
      <c r="D62" s="204">
        <f>'DATI INGRESSO'!B790</f>
        <v>2.9999999999999997E-4</v>
      </c>
      <c r="E62" s="229">
        <f>'DATI INGRESSO'!C790</f>
        <v>0.03</v>
      </c>
      <c r="F62" s="204">
        <f>'DATI INGRESSO'!D790</f>
        <v>2.9999999999999997E-4</v>
      </c>
      <c r="G62" s="229">
        <f>'DATI INGRESSO'!E790</f>
        <v>0.03</v>
      </c>
      <c r="H62" s="178" t="str">
        <f t="shared" si="4"/>
        <v>S</v>
      </c>
      <c r="I62" s="221"/>
      <c r="J62" s="199">
        <f>LOOKUP("S",H60:H65,C60:C65)</f>
        <v>5</v>
      </c>
      <c r="K62" s="189">
        <f ca="1">LOOKUP("S",H60:H65,D60:D63)</f>
        <v>2.9999999999999997E-4</v>
      </c>
      <c r="L62" s="188">
        <f ca="1">LOOKUP("S",H60:H65,E60:E63)</f>
        <v>0.03</v>
      </c>
      <c r="N62" s="199">
        <f>LOOKUP("S",H60:H65,C60:C65)</f>
        <v>5</v>
      </c>
      <c r="O62" s="189">
        <f ca="1">LOOKUP("S",H60:H65,F60:F63)</f>
        <v>2.9999999999999997E-4</v>
      </c>
      <c r="P62" s="188">
        <f ca="1">LOOKUP("S",H60:H65,G60:G63)</f>
        <v>0.03</v>
      </c>
      <c r="R62" s="207">
        <f>G55</f>
        <v>1</v>
      </c>
      <c r="S62" s="189">
        <f ca="1">O61</f>
        <v>3.6174999999999998E-4</v>
      </c>
      <c r="T62" s="188">
        <f ca="1">P61</f>
        <v>2.3824999999999999E-2</v>
      </c>
    </row>
    <row r="63" spans="2:20" x14ac:dyDescent="0.2">
      <c r="B63" s="203">
        <f>'DATI INGRESSO'!A791</f>
        <v>1.2</v>
      </c>
      <c r="C63" s="192">
        <f t="shared" si="5"/>
        <v>6</v>
      </c>
      <c r="D63" s="204">
        <f>'DATI INGRESSO'!B791</f>
        <v>1E-4</v>
      </c>
      <c r="E63" s="229">
        <f>'DATI INGRESSO'!C791</f>
        <v>0.04</v>
      </c>
      <c r="F63" s="204">
        <f>'DATI INGRESSO'!D791</f>
        <v>1E-4</v>
      </c>
      <c r="G63" s="229">
        <f>'DATI INGRESSO'!E791</f>
        <v>0.04</v>
      </c>
      <c r="H63" s="178">
        <f t="shared" si="4"/>
        <v>0</v>
      </c>
      <c r="I63" s="221"/>
    </row>
    <row r="64" spans="2:20" x14ac:dyDescent="0.2">
      <c r="B64" s="203">
        <f>'DATI INGRESSO'!A792</f>
        <v>0</v>
      </c>
      <c r="C64" s="192" t="str">
        <f t="shared" si="5"/>
        <v>N.D.</v>
      </c>
      <c r="D64" s="204">
        <f>'DATI INGRESSO'!B792</f>
        <v>0</v>
      </c>
      <c r="E64" s="229">
        <f>'DATI INGRESSO'!C792</f>
        <v>0</v>
      </c>
      <c r="F64" s="204">
        <f>'DATI INGRESSO'!D792</f>
        <v>0</v>
      </c>
      <c r="G64" s="229">
        <f>'DATI INGRESSO'!E792</f>
        <v>0</v>
      </c>
      <c r="H64" s="178">
        <f t="shared" si="4"/>
        <v>0</v>
      </c>
      <c r="I64" s="221"/>
    </row>
    <row r="65" spans="2:9" x14ac:dyDescent="0.2">
      <c r="B65" s="203">
        <f>'DATI INGRESSO'!A793</f>
        <v>0</v>
      </c>
      <c r="C65" s="192" t="str">
        <f>IF(B65&gt;0,$C$50*B65,"N.D.")</f>
        <v>N.D.</v>
      </c>
      <c r="D65" s="204">
        <f>'DATI INGRESSO'!B793</f>
        <v>0</v>
      </c>
      <c r="E65" s="229">
        <f>'DATI INGRESSO'!C793</f>
        <v>0</v>
      </c>
      <c r="F65" s="204">
        <f>'DATI INGRESSO'!D793</f>
        <v>0</v>
      </c>
      <c r="G65" s="229">
        <f>'DATI INGRESSO'!E793</f>
        <v>0</v>
      </c>
      <c r="H65" s="178">
        <f t="shared" si="4"/>
        <v>0</v>
      </c>
      <c r="I65" s="221"/>
    </row>
    <row r="66" spans="2:9" s="197" customFormat="1" x14ac:dyDescent="0.2">
      <c r="B66" s="222"/>
      <c r="C66" s="25" t="s">
        <v>97</v>
      </c>
      <c r="D66" s="223"/>
      <c r="E66" s="224"/>
      <c r="F66" s="223"/>
      <c r="G66" s="224"/>
      <c r="H66" s="206"/>
      <c r="I66" s="206"/>
    </row>
    <row r="67" spans="2:9" x14ac:dyDescent="0.2">
      <c r="C67" s="25" t="s">
        <v>97</v>
      </c>
    </row>
    <row r="68" spans="2:9" ht="15" x14ac:dyDescent="0.25">
      <c r="B68" s="214" t="s">
        <v>104</v>
      </c>
      <c r="C68" s="215">
        <f>'VALUT. GLOBALE'!E12</f>
        <v>2.5299999999999998</v>
      </c>
    </row>
    <row r="69" spans="2:9" ht="15" x14ac:dyDescent="0.25">
      <c r="B69" s="214" t="s">
        <v>105</v>
      </c>
      <c r="C69" s="217">
        <f>IF(C68&lt;=MIN(C60:C65),MIN(C60:C65),IF(C68&gt;=MAX(C60:C65),MAX(C60:C65),C68))</f>
        <v>2.5299999999999998</v>
      </c>
      <c r="D69" s="218">
        <f ca="1">(S61)</f>
        <v>3.6174999999999998E-4</v>
      </c>
      <c r="E69" s="219">
        <f ca="1">(T61)</f>
        <v>2.3824999999999999E-2</v>
      </c>
    </row>
  </sheetData>
  <sheetProtection algorithmName="SHA-512" hashValue="aXC1dVYu2ettaTz0oNjYaF94p2ukhEt5g6TN+nHqo/ePWwXTe0cwFMRG2KspLWpkqDGps+pMMx7CIkIy1dN61w==" saltValue="HE7jtNhALNOfHaxVwHTzlw==" spinCount="100000" sheet="1" objects="1" scenarios="1"/>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7"/>
  <dimension ref="A3:W69"/>
  <sheetViews>
    <sheetView topLeftCell="A41" workbookViewId="0">
      <selection activeCell="T70" sqref="T70"/>
    </sheetView>
  </sheetViews>
  <sheetFormatPr defaultRowHeight="12.75" x14ac:dyDescent="0.2"/>
  <cols>
    <col min="1" max="1" width="9.140625" style="16"/>
    <col min="2" max="2" width="28.5703125" style="16" customWidth="1"/>
    <col min="3" max="3" width="11.140625" style="16" customWidth="1"/>
    <col min="4" max="4" width="15.85546875" style="16" customWidth="1"/>
    <col min="5" max="5" width="13.7109375" style="16" customWidth="1"/>
    <col min="6" max="6" width="14.5703125" style="16" customWidth="1"/>
    <col min="7" max="7" width="14.28515625" style="16" customWidth="1"/>
    <col min="8" max="16384" width="9.140625" style="16"/>
  </cols>
  <sheetData>
    <row r="3" spans="1:20" x14ac:dyDescent="0.2">
      <c r="B3" s="16" t="s">
        <v>108</v>
      </c>
    </row>
    <row r="5" spans="1:20" x14ac:dyDescent="0.2">
      <c r="B5" s="196" t="s">
        <v>109</v>
      </c>
    </row>
    <row r="6" spans="1:20" x14ac:dyDescent="0.2">
      <c r="B6" s="16" t="s">
        <v>110</v>
      </c>
      <c r="C6" s="197">
        <f>'DATI INGRESSO'!O171</f>
        <v>100</v>
      </c>
      <c r="D6" s="16" t="s">
        <v>61</v>
      </c>
    </row>
    <row r="7" spans="1:20" x14ac:dyDescent="0.2">
      <c r="B7" s="16" t="s">
        <v>91</v>
      </c>
      <c r="C7" s="197">
        <f>'DATI INGRESSO'!O176</f>
        <v>0.98</v>
      </c>
      <c r="D7" s="16" t="s">
        <v>84</v>
      </c>
    </row>
    <row r="8" spans="1:20" x14ac:dyDescent="0.2">
      <c r="B8" s="16" t="s">
        <v>92</v>
      </c>
      <c r="C8" s="197">
        <f>'DATI INGRESSO'!O175</f>
        <v>3</v>
      </c>
      <c r="D8" s="16" t="s">
        <v>84</v>
      </c>
    </row>
    <row r="9" spans="1:20" ht="15" x14ac:dyDescent="0.25">
      <c r="B9" s="16" t="s">
        <v>93</v>
      </c>
      <c r="C9" s="230">
        <f>C7/C8</f>
        <v>0.32666666666666666</v>
      </c>
      <c r="J9" s="231" t="s">
        <v>668</v>
      </c>
    </row>
    <row r="10" spans="1:20" x14ac:dyDescent="0.2">
      <c r="B10" s="16" t="s">
        <v>94</v>
      </c>
      <c r="C10" s="198">
        <f>IF(C9&lt;E11,E11,IF(C9&gt;G11,G11,C9))</f>
        <v>0.32666666666666666</v>
      </c>
    </row>
    <row r="11" spans="1:20" x14ac:dyDescent="0.2">
      <c r="B11" s="197"/>
      <c r="C11" s="197"/>
      <c r="D11" s="227" t="s">
        <v>95</v>
      </c>
      <c r="E11" s="220">
        <f>'DATI INGRESSO'!C798</f>
        <v>0.25</v>
      </c>
      <c r="F11" s="227" t="s">
        <v>95</v>
      </c>
      <c r="G11" s="220">
        <f>'DATI INGRESSO'!E798</f>
        <v>1</v>
      </c>
    </row>
    <row r="12" spans="1:20" ht="32.25" customHeight="1" x14ac:dyDescent="0.2">
      <c r="B12" s="228" t="s">
        <v>111</v>
      </c>
      <c r="C12" s="232" t="s">
        <v>86</v>
      </c>
      <c r="D12" s="228" t="s">
        <v>70</v>
      </c>
      <c r="E12" s="228" t="s">
        <v>71</v>
      </c>
      <c r="F12" s="228" t="s">
        <v>70</v>
      </c>
      <c r="G12" s="228" t="s">
        <v>71</v>
      </c>
    </row>
    <row r="13" spans="1:20" ht="15.75" x14ac:dyDescent="0.2">
      <c r="B13" s="228"/>
      <c r="C13" s="228"/>
      <c r="D13" s="228" t="s">
        <v>78</v>
      </c>
      <c r="E13" s="228" t="s">
        <v>79</v>
      </c>
      <c r="F13" s="228" t="s">
        <v>78</v>
      </c>
      <c r="G13" s="228" t="s">
        <v>79</v>
      </c>
      <c r="K13" s="201">
        <f>E11</f>
        <v>0.25</v>
      </c>
      <c r="O13" s="201">
        <f>G11</f>
        <v>1</v>
      </c>
    </row>
    <row r="14" spans="1:20" ht="15.75" x14ac:dyDescent="0.2">
      <c r="B14" s="192" t="s">
        <v>1</v>
      </c>
      <c r="C14" s="192" t="s">
        <v>61</v>
      </c>
      <c r="D14" s="192" t="s">
        <v>1</v>
      </c>
      <c r="E14" s="192" t="s">
        <v>85</v>
      </c>
      <c r="F14" s="192" t="s">
        <v>1</v>
      </c>
      <c r="G14" s="192" t="s">
        <v>85</v>
      </c>
      <c r="K14" s="23" t="s">
        <v>78</v>
      </c>
      <c r="L14" s="23" t="s">
        <v>79</v>
      </c>
      <c r="O14" s="23" t="s">
        <v>78</v>
      </c>
      <c r="P14" s="23" t="s">
        <v>79</v>
      </c>
      <c r="S14" s="23" t="s">
        <v>78</v>
      </c>
      <c r="T14" s="23" t="s">
        <v>79</v>
      </c>
    </row>
    <row r="15" spans="1:20" x14ac:dyDescent="0.2">
      <c r="B15" s="192"/>
      <c r="C15" s="192" t="s">
        <v>97</v>
      </c>
      <c r="D15" s="192"/>
      <c r="E15" s="192"/>
      <c r="F15" s="192"/>
      <c r="G15" s="192"/>
      <c r="K15" s="23"/>
      <c r="L15" s="23"/>
      <c r="O15" s="23"/>
      <c r="P15" s="23"/>
      <c r="S15" s="23"/>
      <c r="T15" s="23"/>
    </row>
    <row r="16" spans="1:20" x14ac:dyDescent="0.2">
      <c r="A16" s="202" t="s">
        <v>112</v>
      </c>
      <c r="B16" s="233">
        <f>'DATI INGRESSO'!A803</f>
        <v>0.8</v>
      </c>
      <c r="C16" s="192">
        <f t="shared" ref="C16:C21" si="0">IF(B16&gt;0,$C$6*B16,"N.D.")</f>
        <v>80</v>
      </c>
      <c r="D16" s="204">
        <f>'DATI INGRESSO'!B803</f>
        <v>1E-3</v>
      </c>
      <c r="E16" s="205">
        <f>'DATI INGRESSO'!C803</f>
        <v>0.13</v>
      </c>
      <c r="F16" s="204">
        <f>'DATI INGRESSO'!D803</f>
        <v>1E-3</v>
      </c>
      <c r="G16" s="205">
        <f>'DATI INGRESSO'!E803</f>
        <v>0.13</v>
      </c>
      <c r="H16" s="178" t="str">
        <f t="shared" ref="H16:H21" si="1">IF(C16&lt;&gt;"N.D.",IF(C15="N.D.",IF(AND($C$25&gt;=C16,$C$25&lt;C17),"I",0),IF(C17="N.D.",IF(AND($C$25&gt;=C15,$C$25&lt;=C16),"S",0),IF(C18="N.D.",IF(AND($C$25&gt;=C16,$C$25&lt;=C17),"I",IF(AND($C$25&gt;=C15,$C$25&lt;C16),"S",0)),IF(AND($C$25&gt;=C16,$C$25&lt;C17),"I",IF(AND($C$25&gt;=C15,$C$25&lt;C16),"S",0))))),0)</f>
        <v>I</v>
      </c>
      <c r="J16" s="16">
        <f>LOOKUP("I",H16:H21,C16:C21)</f>
        <v>80</v>
      </c>
      <c r="K16" s="189">
        <f ca="1">LOOKUP("I",H16:H21,D16:D20)</f>
        <v>1E-3</v>
      </c>
      <c r="L16" s="188">
        <f ca="1">LOOKUP("I",H16:H21,E16:E20)</f>
        <v>0.13</v>
      </c>
      <c r="N16" s="16">
        <f>LOOKUP("I",H16:H21,C16:C21)</f>
        <v>80</v>
      </c>
      <c r="O16" s="189">
        <f ca="1">LOOKUP("I",H16:H21,F16:F20)</f>
        <v>1E-3</v>
      </c>
      <c r="P16" s="188">
        <f ca="1">LOOKUP("I",H16:H21,G16:G20)</f>
        <v>0.13</v>
      </c>
      <c r="R16" s="207">
        <f>E11</f>
        <v>0.25</v>
      </c>
      <c r="S16" s="189">
        <f ca="1">K17</f>
        <v>1E-3</v>
      </c>
      <c r="T16" s="188">
        <f ca="1">L17</f>
        <v>0.13</v>
      </c>
    </row>
    <row r="17" spans="1:21" x14ac:dyDescent="0.2">
      <c r="A17" s="202" t="s">
        <v>113</v>
      </c>
      <c r="B17" s="233">
        <f>'DATI INGRESSO'!A804</f>
        <v>1</v>
      </c>
      <c r="C17" s="192">
        <f t="shared" si="0"/>
        <v>100</v>
      </c>
      <c r="D17" s="204">
        <f>'DATI INGRESSO'!B804</f>
        <v>1.1000000000000001E-3</v>
      </c>
      <c r="E17" s="205">
        <f>'DATI INGRESSO'!C804</f>
        <v>0.14000000000000001</v>
      </c>
      <c r="F17" s="204">
        <f>'DATI INGRESSO'!D804</f>
        <v>1.1000000000000001E-3</v>
      </c>
      <c r="G17" s="205">
        <f>'DATI INGRESSO'!E804</f>
        <v>0.14000000000000001</v>
      </c>
      <c r="H17" s="178" t="str">
        <f t="shared" si="1"/>
        <v>S</v>
      </c>
      <c r="J17" s="16">
        <f>C25</f>
        <v>80</v>
      </c>
      <c r="K17" s="208">
        <f ca="1">(J17-J16)/(J18-J16)*(K18-K16)+K16</f>
        <v>1E-3</v>
      </c>
      <c r="L17" s="192">
        <f ca="1">(J17-J16)/(J18-J16)*(L18-L16)+L16</f>
        <v>0.13</v>
      </c>
      <c r="N17" s="16">
        <f>C25</f>
        <v>80</v>
      </c>
      <c r="O17" s="208">
        <f ca="1">(N17-N16)/(N18-N16)*(O18-O16)+O16</f>
        <v>1E-3</v>
      </c>
      <c r="P17" s="192">
        <f ca="1">(N17-N16)/(N18-N16)*(P18-P16)+P16</f>
        <v>0.13</v>
      </c>
      <c r="R17" s="209">
        <f>C10</f>
        <v>0.32666666666666666</v>
      </c>
      <c r="S17" s="208">
        <f ca="1">(R17-R16)/(R18-R16)*(S18-S16)+S16</f>
        <v>1E-3</v>
      </c>
      <c r="T17" s="192">
        <f ca="1">(R17-R16)/(R18-R16)*(T18-T16)+T16</f>
        <v>0.13</v>
      </c>
    </row>
    <row r="18" spans="1:21" x14ac:dyDescent="0.2">
      <c r="A18" s="202" t="s">
        <v>114</v>
      </c>
      <c r="B18" s="233">
        <f>'DATI INGRESSO'!A805</f>
        <v>1.2</v>
      </c>
      <c r="C18" s="192">
        <f t="shared" si="0"/>
        <v>120</v>
      </c>
      <c r="D18" s="204">
        <f>'DATI INGRESSO'!B805</f>
        <v>1.1999999999999999E-3</v>
      </c>
      <c r="E18" s="205">
        <f>'DATI INGRESSO'!C805</f>
        <v>0.15</v>
      </c>
      <c r="F18" s="204">
        <f>'DATI INGRESSO'!D805</f>
        <v>1.1999999999999999E-3</v>
      </c>
      <c r="G18" s="205">
        <f>'DATI INGRESSO'!E805</f>
        <v>0.15</v>
      </c>
      <c r="H18" s="178">
        <f t="shared" si="1"/>
        <v>0</v>
      </c>
      <c r="J18" s="16">
        <f>LOOKUP("S",H16:H21,C16:C21)</f>
        <v>100</v>
      </c>
      <c r="K18" s="189">
        <f ca="1">LOOKUP("S",H16:H21,D16:D20)</f>
        <v>1.1000000000000001E-3</v>
      </c>
      <c r="L18" s="188">
        <f ca="1">LOOKUP("S",H16:H21,E16:E20)</f>
        <v>0.14000000000000001</v>
      </c>
      <c r="N18" s="16">
        <f>LOOKUP("S",H16:H21,C16:C21)</f>
        <v>100</v>
      </c>
      <c r="O18" s="189">
        <f ca="1">LOOKUP("S",H16:H21,F16:F20)</f>
        <v>1.1000000000000001E-3</v>
      </c>
      <c r="P18" s="188">
        <f ca="1">LOOKUP("S",H16:H21,G16:G20)</f>
        <v>0.14000000000000001</v>
      </c>
      <c r="R18" s="207">
        <f>G11</f>
        <v>1</v>
      </c>
      <c r="S18" s="189">
        <f ca="1">O17</f>
        <v>1E-3</v>
      </c>
      <c r="T18" s="188">
        <f ca="1">P17</f>
        <v>0.13</v>
      </c>
    </row>
    <row r="19" spans="1:21" x14ac:dyDescent="0.2">
      <c r="A19" s="202" t="s">
        <v>115</v>
      </c>
      <c r="B19" s="233">
        <f>'DATI INGRESSO'!A806</f>
        <v>0</v>
      </c>
      <c r="C19" s="192" t="str">
        <f t="shared" si="0"/>
        <v>N.D.</v>
      </c>
      <c r="D19" s="204">
        <f>'DATI INGRESSO'!B806</f>
        <v>0</v>
      </c>
      <c r="E19" s="205">
        <f>'DATI INGRESSO'!C806</f>
        <v>0</v>
      </c>
      <c r="F19" s="204">
        <f>'DATI INGRESSO'!D806</f>
        <v>0</v>
      </c>
      <c r="G19" s="205">
        <f>'DATI INGRESSO'!E806</f>
        <v>0</v>
      </c>
      <c r="H19" s="178">
        <f t="shared" si="1"/>
        <v>0</v>
      </c>
    </row>
    <row r="20" spans="1:21" x14ac:dyDescent="0.2">
      <c r="A20" s="202" t="s">
        <v>116</v>
      </c>
      <c r="B20" s="233">
        <f>'DATI INGRESSO'!A807</f>
        <v>0</v>
      </c>
      <c r="C20" s="192" t="str">
        <f t="shared" si="0"/>
        <v>N.D.</v>
      </c>
      <c r="D20" s="204">
        <f>'DATI INGRESSO'!B807</f>
        <v>0</v>
      </c>
      <c r="E20" s="205">
        <f>'DATI INGRESSO'!C807</f>
        <v>0</v>
      </c>
      <c r="F20" s="204">
        <f>'DATI INGRESSO'!D807</f>
        <v>0</v>
      </c>
      <c r="G20" s="205">
        <f>'DATI INGRESSO'!E807</f>
        <v>0</v>
      </c>
      <c r="H20" s="178">
        <f t="shared" si="1"/>
        <v>0</v>
      </c>
    </row>
    <row r="21" spans="1:21" x14ac:dyDescent="0.2">
      <c r="A21" s="202" t="s">
        <v>117</v>
      </c>
      <c r="B21" s="233">
        <f>'DATI INGRESSO'!A808</f>
        <v>0</v>
      </c>
      <c r="C21" s="192" t="str">
        <f t="shared" si="0"/>
        <v>N.D.</v>
      </c>
      <c r="D21" s="204">
        <f>'DATI INGRESSO'!B808</f>
        <v>0</v>
      </c>
      <c r="E21" s="205">
        <f>'DATI INGRESSO'!C808</f>
        <v>0</v>
      </c>
      <c r="F21" s="204">
        <f>'DATI INGRESSO'!D808</f>
        <v>0</v>
      </c>
      <c r="G21" s="205">
        <f>'DATI INGRESSO'!E808</f>
        <v>0</v>
      </c>
      <c r="H21" s="178">
        <f t="shared" si="1"/>
        <v>0</v>
      </c>
      <c r="I21" s="206"/>
    </row>
    <row r="22" spans="1:21" s="197" customFormat="1" x14ac:dyDescent="0.2">
      <c r="A22" s="234"/>
      <c r="B22" s="235"/>
      <c r="C22" s="192" t="s">
        <v>97</v>
      </c>
      <c r="D22" s="223"/>
      <c r="E22" s="224"/>
      <c r="F22" s="223"/>
      <c r="G22" s="224"/>
      <c r="H22" s="206"/>
      <c r="I22" s="206"/>
      <c r="J22" s="16"/>
      <c r="K22" s="16"/>
      <c r="L22" s="16"/>
      <c r="M22" s="16"/>
      <c r="N22" s="16"/>
      <c r="O22" s="16"/>
      <c r="P22" s="16"/>
      <c r="Q22" s="16"/>
      <c r="R22" s="16"/>
      <c r="S22" s="16"/>
      <c r="T22" s="16"/>
      <c r="U22" s="16"/>
    </row>
    <row r="23" spans="1:21" ht="15" x14ac:dyDescent="0.25">
      <c r="B23" s="236"/>
      <c r="C23" s="25" t="s">
        <v>97</v>
      </c>
      <c r="D23" s="237"/>
      <c r="E23" s="224"/>
    </row>
    <row r="24" spans="1:21" ht="15" x14ac:dyDescent="0.25">
      <c r="B24" s="214" t="s">
        <v>118</v>
      </c>
      <c r="C24" s="217">
        <f>IF('VALUT. GLOBALE'!$E$53="X",IF('VALUT. GLOBALE'!$E$5="F-N",'VALUT. GLOBALE'!E2,'VALUT. GLOBALE'!E2/SQRT(3)),IF(AND('VALUT. GLOBALE'!$E$52="X",'VALUT. GLOBALE'!$E$5="F-F"),'VALUT. GLOBALE'!E2,IF('VALUT. GLOBALE'!$E$51="X",'VALUT. GLOBALE'!E2,"ERRORE")))</f>
        <v>57.73</v>
      </c>
    </row>
    <row r="25" spans="1:21" ht="15" x14ac:dyDescent="0.25">
      <c r="B25" s="214" t="s">
        <v>119</v>
      </c>
      <c r="C25" s="217">
        <f>IF(C24&lt;=MIN(C16:C21),MIN(C16:C21),IF(C24&gt;=MAX(C16:C21),MAX(C16:C21),C24))</f>
        <v>80</v>
      </c>
      <c r="D25" s="218">
        <f ca="1">IF(C24="ERRORE","ERRORE",(S17))</f>
        <v>1E-3</v>
      </c>
      <c r="E25" s="219">
        <f ca="1">IF(C24="ERRORE","ERRORE",T17)</f>
        <v>0.13</v>
      </c>
    </row>
    <row r="27" spans="1:21" x14ac:dyDescent="0.2">
      <c r="B27" s="196" t="s">
        <v>120</v>
      </c>
    </row>
    <row r="28" spans="1:21" x14ac:dyDescent="0.2">
      <c r="B28" s="16" t="s">
        <v>110</v>
      </c>
      <c r="C28" s="197">
        <f>'DATI INGRESSO'!O171</f>
        <v>100</v>
      </c>
      <c r="D28" s="16" t="s">
        <v>61</v>
      </c>
    </row>
    <row r="29" spans="1:21" x14ac:dyDescent="0.2">
      <c r="B29" s="16" t="s">
        <v>91</v>
      </c>
      <c r="C29" s="197">
        <f>'DATI INGRESSO'!O177</f>
        <v>0.96</v>
      </c>
      <c r="D29" s="16" t="s">
        <v>84</v>
      </c>
    </row>
    <row r="30" spans="1:21" x14ac:dyDescent="0.2">
      <c r="B30" s="16" t="s">
        <v>92</v>
      </c>
      <c r="C30" s="197">
        <f>'DATI INGRESSO'!O175</f>
        <v>3</v>
      </c>
      <c r="D30" s="16" t="s">
        <v>84</v>
      </c>
    </row>
    <row r="31" spans="1:21" ht="15" x14ac:dyDescent="0.25">
      <c r="B31" s="16" t="s">
        <v>93</v>
      </c>
      <c r="C31" s="230">
        <f>C29/C30</f>
        <v>0.32</v>
      </c>
    </row>
    <row r="32" spans="1:21" x14ac:dyDescent="0.2">
      <c r="B32" s="16" t="s">
        <v>94</v>
      </c>
      <c r="C32" s="198">
        <f>IF(C31&lt;E33,E33,IF(C31&gt;G33,G33,C31))</f>
        <v>0.32</v>
      </c>
    </row>
    <row r="33" spans="2:20" x14ac:dyDescent="0.2">
      <c r="B33" s="197"/>
      <c r="C33" s="197"/>
      <c r="D33" s="227" t="s">
        <v>95</v>
      </c>
      <c r="E33" s="220">
        <f>'DATI INGRESSO'!C810</f>
        <v>0.25</v>
      </c>
      <c r="F33" s="227" t="s">
        <v>95</v>
      </c>
      <c r="G33" s="220">
        <f>'DATI INGRESSO'!E810</f>
        <v>1</v>
      </c>
    </row>
    <row r="34" spans="2:20" ht="32.25" customHeight="1" x14ac:dyDescent="0.2">
      <c r="B34" s="228" t="s">
        <v>111</v>
      </c>
      <c r="C34" s="232" t="s">
        <v>86</v>
      </c>
      <c r="D34" s="228" t="s">
        <v>70</v>
      </c>
      <c r="E34" s="228" t="s">
        <v>71</v>
      </c>
      <c r="F34" s="228" t="s">
        <v>70</v>
      </c>
      <c r="G34" s="228" t="s">
        <v>71</v>
      </c>
    </row>
    <row r="35" spans="2:20" ht="15.75" x14ac:dyDescent="0.2">
      <c r="B35" s="228"/>
      <c r="C35" s="228"/>
      <c r="D35" s="228" t="s">
        <v>80</v>
      </c>
      <c r="E35" s="228" t="s">
        <v>81</v>
      </c>
      <c r="F35" s="228" t="s">
        <v>80</v>
      </c>
      <c r="G35" s="228" t="s">
        <v>81</v>
      </c>
      <c r="K35" s="201">
        <f>E33</f>
        <v>0.25</v>
      </c>
      <c r="O35" s="201">
        <f>G33</f>
        <v>1</v>
      </c>
    </row>
    <row r="36" spans="2:20" ht="15.75" x14ac:dyDescent="0.2">
      <c r="B36" s="192" t="s">
        <v>1</v>
      </c>
      <c r="C36" s="192" t="s">
        <v>61</v>
      </c>
      <c r="D36" s="192" t="s">
        <v>1</v>
      </c>
      <c r="E36" s="192" t="s">
        <v>85</v>
      </c>
      <c r="F36" s="192" t="s">
        <v>1</v>
      </c>
      <c r="G36" s="192" t="s">
        <v>85</v>
      </c>
      <c r="K36" s="23" t="s">
        <v>80</v>
      </c>
      <c r="L36" s="23" t="s">
        <v>81</v>
      </c>
      <c r="O36" s="23" t="s">
        <v>80</v>
      </c>
      <c r="P36" s="23" t="s">
        <v>81</v>
      </c>
      <c r="S36" s="23" t="s">
        <v>80</v>
      </c>
      <c r="T36" s="23" t="s">
        <v>81</v>
      </c>
    </row>
    <row r="37" spans="2:20" x14ac:dyDescent="0.2">
      <c r="B37" s="192"/>
      <c r="C37" s="192" t="s">
        <v>97</v>
      </c>
      <c r="D37" s="192"/>
      <c r="E37" s="192"/>
      <c r="F37" s="192"/>
      <c r="G37" s="192"/>
      <c r="K37" s="23"/>
      <c r="L37" s="23"/>
      <c r="O37" s="23"/>
      <c r="P37" s="23"/>
      <c r="S37" s="23"/>
      <c r="T37" s="23"/>
    </row>
    <row r="38" spans="2:20" x14ac:dyDescent="0.2">
      <c r="B38" s="233">
        <f>'DATI INGRESSO'!A815</f>
        <v>0.8</v>
      </c>
      <c r="C38" s="192">
        <f t="shared" ref="C38:C43" si="2">IF(B38&gt;0,$C$28*B38,"N.D.")</f>
        <v>80</v>
      </c>
      <c r="D38" s="204">
        <f>'DATI INGRESSO'!B815</f>
        <v>1E-3</v>
      </c>
      <c r="E38" s="205">
        <f>'DATI INGRESSO'!C815</f>
        <v>0.13</v>
      </c>
      <c r="F38" s="204">
        <f>'DATI INGRESSO'!D815</f>
        <v>1E-3</v>
      </c>
      <c r="G38" s="205">
        <f>'DATI INGRESSO'!E815</f>
        <v>0.13</v>
      </c>
      <c r="H38" s="178" t="str">
        <f t="shared" ref="H38:H43" si="3">IF(C38&lt;&gt;"N.D.",IF(C37="N.D.",IF(AND($C$47&gt;=C38,$C$47&lt;C39),"I",0),IF(C39="N.D.",IF(AND($C$47&gt;=C37,$C$47&lt;=C38),"S",0),IF(C40="N.D.",IF(AND($C$47&gt;=C38,$C$47&lt;=C39),"I",IF(AND($C$47&gt;=C37,$C$47&lt;C38),"S",0)),IF(AND($C$47&gt;=C38,$C$47&lt;C39),"I",IF(AND($C$47&gt;=C37,$C$47&lt;C38),"S",0))))),0)</f>
        <v>I</v>
      </c>
      <c r="I38" s="206"/>
      <c r="J38" s="199">
        <f>LOOKUP("I",H38:H43,C38:C43)</f>
        <v>80</v>
      </c>
      <c r="K38" s="189">
        <f ca="1">LOOKUP("I",H38:H43,D38:D42)</f>
        <v>1E-3</v>
      </c>
      <c r="L38" s="188">
        <f ca="1">LOOKUP("I",H38:H43,E38:E42)</f>
        <v>0.13</v>
      </c>
      <c r="N38" s="199">
        <f>LOOKUP("I",H38:H43,C38:C43)</f>
        <v>80</v>
      </c>
      <c r="O38" s="189">
        <f ca="1">LOOKUP("I",H38:H43,F38:F42)</f>
        <v>1E-3</v>
      </c>
      <c r="P38" s="188">
        <f ca="1">LOOKUP("I",H38:H43,G38:G42)</f>
        <v>0.13</v>
      </c>
      <c r="R38" s="207">
        <f>E33</f>
        <v>0.25</v>
      </c>
      <c r="S38" s="189">
        <f ca="1">K39</f>
        <v>1E-3</v>
      </c>
      <c r="T38" s="188">
        <f ca="1">L39</f>
        <v>0.13</v>
      </c>
    </row>
    <row r="39" spans="2:20" x14ac:dyDescent="0.2">
      <c r="B39" s="233">
        <f>'DATI INGRESSO'!A816</f>
        <v>1</v>
      </c>
      <c r="C39" s="192">
        <f t="shared" si="2"/>
        <v>100</v>
      </c>
      <c r="D39" s="204">
        <f>'DATI INGRESSO'!B816</f>
        <v>1.1000000000000001E-3</v>
      </c>
      <c r="E39" s="205">
        <f>'DATI INGRESSO'!C816</f>
        <v>0.14000000000000001</v>
      </c>
      <c r="F39" s="204">
        <f>'DATI INGRESSO'!D816</f>
        <v>1.1000000000000001E-3</v>
      </c>
      <c r="G39" s="205">
        <f>'DATI INGRESSO'!E816</f>
        <v>0.14000000000000001</v>
      </c>
      <c r="H39" s="178" t="str">
        <f t="shared" si="3"/>
        <v>S</v>
      </c>
      <c r="I39" s="206"/>
      <c r="J39" s="16">
        <f>C47</f>
        <v>80</v>
      </c>
      <c r="K39" s="208">
        <f ca="1">(J39-J38)/(J40-J38)*(K40-K38)+K38</f>
        <v>1E-3</v>
      </c>
      <c r="L39" s="192">
        <f ca="1">(J39-J38)/(J40-J38)*(L40-L38)+L38</f>
        <v>0.13</v>
      </c>
      <c r="N39" s="16">
        <f>C47</f>
        <v>80</v>
      </c>
      <c r="O39" s="208">
        <f ca="1">(N39-N38)/(N40-N38)*(O40-O38)+O38</f>
        <v>1E-3</v>
      </c>
      <c r="P39" s="192">
        <f ca="1">(N39-N38)/(N40-N38)*(P40-P38)+P38</f>
        <v>0.13</v>
      </c>
      <c r="R39" s="209">
        <f>C32</f>
        <v>0.32</v>
      </c>
      <c r="S39" s="208">
        <f ca="1">(R39-R38)/(R40-R38)*(S40-S38)+S38</f>
        <v>1E-3</v>
      </c>
      <c r="T39" s="192">
        <f ca="1">(R39-R38)/(R40-R38)*(T40-T38)+T38</f>
        <v>0.13</v>
      </c>
    </row>
    <row r="40" spans="2:20" x14ac:dyDescent="0.2">
      <c r="B40" s="233">
        <f>'DATI INGRESSO'!A817</f>
        <v>1.2</v>
      </c>
      <c r="C40" s="192">
        <f t="shared" si="2"/>
        <v>120</v>
      </c>
      <c r="D40" s="204">
        <f>'DATI INGRESSO'!B817</f>
        <v>1.1999999999999999E-3</v>
      </c>
      <c r="E40" s="205">
        <f>'DATI INGRESSO'!C817</f>
        <v>0.15</v>
      </c>
      <c r="F40" s="204">
        <f>'DATI INGRESSO'!D817</f>
        <v>1.1999999999999999E-3</v>
      </c>
      <c r="G40" s="205">
        <f>'DATI INGRESSO'!E817</f>
        <v>0.15</v>
      </c>
      <c r="H40" s="178">
        <f t="shared" si="3"/>
        <v>0</v>
      </c>
      <c r="I40" s="206"/>
      <c r="J40" s="199">
        <f>LOOKUP("S",H38:H43,C38:C43)</f>
        <v>100</v>
      </c>
      <c r="K40" s="189">
        <f ca="1">LOOKUP("S",H38:H43,D38:D42)</f>
        <v>1.1000000000000001E-3</v>
      </c>
      <c r="L40" s="188">
        <f ca="1">LOOKUP("S",H38:H43,E38:E42)</f>
        <v>0.14000000000000001</v>
      </c>
      <c r="N40" s="199">
        <f>LOOKUP("S",H38:H43,C38:C43)</f>
        <v>100</v>
      </c>
      <c r="O40" s="189">
        <f ca="1">LOOKUP("S",H38:H43,F38:F42)</f>
        <v>1.1000000000000001E-3</v>
      </c>
      <c r="P40" s="188">
        <f ca="1">LOOKUP("S",H38:H43,G38:G42)</f>
        <v>0.14000000000000001</v>
      </c>
      <c r="R40" s="207">
        <f>G33</f>
        <v>1</v>
      </c>
      <c r="S40" s="189">
        <f ca="1">O39</f>
        <v>1E-3</v>
      </c>
      <c r="T40" s="188">
        <f ca="1">P39</f>
        <v>0.13</v>
      </c>
    </row>
    <row r="41" spans="2:20" x14ac:dyDescent="0.2">
      <c r="B41" s="233">
        <f>'DATI INGRESSO'!A818</f>
        <v>0</v>
      </c>
      <c r="C41" s="192" t="str">
        <f t="shared" si="2"/>
        <v>N.D.</v>
      </c>
      <c r="D41" s="204">
        <f>'DATI INGRESSO'!B818</f>
        <v>0</v>
      </c>
      <c r="E41" s="205">
        <f>'DATI INGRESSO'!C818</f>
        <v>0</v>
      </c>
      <c r="F41" s="204">
        <f>'DATI INGRESSO'!D818</f>
        <v>0</v>
      </c>
      <c r="G41" s="205">
        <f>'DATI INGRESSO'!E818</f>
        <v>0</v>
      </c>
      <c r="H41" s="178">
        <f t="shared" si="3"/>
        <v>0</v>
      </c>
      <c r="I41" s="206"/>
      <c r="J41" s="199"/>
      <c r="K41" s="212"/>
      <c r="L41" s="213"/>
      <c r="N41" s="199"/>
      <c r="O41" s="212"/>
      <c r="P41" s="213"/>
      <c r="R41" s="207"/>
      <c r="S41" s="212"/>
      <c r="T41" s="213"/>
    </row>
    <row r="42" spans="2:20" x14ac:dyDescent="0.2">
      <c r="B42" s="233">
        <f>'DATI INGRESSO'!A819</f>
        <v>0</v>
      </c>
      <c r="C42" s="192" t="str">
        <f t="shared" si="2"/>
        <v>N.D.</v>
      </c>
      <c r="D42" s="204">
        <f>'DATI INGRESSO'!B819</f>
        <v>0</v>
      </c>
      <c r="E42" s="205">
        <f>'DATI INGRESSO'!C819</f>
        <v>0</v>
      </c>
      <c r="F42" s="204">
        <f>'DATI INGRESSO'!D819</f>
        <v>0</v>
      </c>
      <c r="G42" s="205">
        <f>'DATI INGRESSO'!E819</f>
        <v>0</v>
      </c>
      <c r="H42" s="178">
        <f t="shared" si="3"/>
        <v>0</v>
      </c>
      <c r="I42" s="206"/>
      <c r="J42" s="199"/>
      <c r="K42" s="212"/>
      <c r="L42" s="213"/>
      <c r="N42" s="199"/>
      <c r="O42" s="212"/>
      <c r="P42" s="213"/>
      <c r="R42" s="207"/>
      <c r="S42" s="212"/>
      <c r="T42" s="213"/>
    </row>
    <row r="43" spans="2:20" x14ac:dyDescent="0.2">
      <c r="B43" s="233">
        <f>'DATI INGRESSO'!A820</f>
        <v>0</v>
      </c>
      <c r="C43" s="192" t="str">
        <f t="shared" si="2"/>
        <v>N.D.</v>
      </c>
      <c r="D43" s="204">
        <f>'DATI INGRESSO'!B820</f>
        <v>0</v>
      </c>
      <c r="E43" s="205">
        <f>'DATI INGRESSO'!C820</f>
        <v>0</v>
      </c>
      <c r="F43" s="204">
        <f>'DATI INGRESSO'!D820</f>
        <v>0</v>
      </c>
      <c r="G43" s="205">
        <f>'DATI INGRESSO'!E820</f>
        <v>0</v>
      </c>
      <c r="H43" s="178">
        <f t="shared" si="3"/>
        <v>0</v>
      </c>
      <c r="I43" s="206"/>
      <c r="J43" s="199"/>
      <c r="K43" s="212"/>
      <c r="L43" s="213"/>
      <c r="N43" s="199"/>
      <c r="O43" s="212"/>
      <c r="P43" s="213"/>
      <c r="R43" s="207"/>
      <c r="S43" s="212"/>
      <c r="T43" s="213"/>
    </row>
    <row r="44" spans="2:20" s="197" customFormat="1" ht="15" x14ac:dyDescent="0.25">
      <c r="B44" s="238"/>
      <c r="C44" s="25" t="s">
        <v>97</v>
      </c>
      <c r="D44" s="223"/>
      <c r="E44" s="224"/>
      <c r="F44" s="223"/>
      <c r="G44" s="224"/>
      <c r="H44" s="206"/>
      <c r="I44" s="206"/>
      <c r="K44" s="223"/>
      <c r="L44" s="224"/>
      <c r="O44" s="223"/>
      <c r="P44" s="224"/>
      <c r="R44" s="239"/>
      <c r="S44" s="223"/>
      <c r="T44" s="224"/>
    </row>
    <row r="45" spans="2:20" ht="15" x14ac:dyDescent="0.25">
      <c r="B45" s="236"/>
      <c r="C45" s="25" t="s">
        <v>97</v>
      </c>
      <c r="D45" s="237"/>
      <c r="E45" s="224"/>
    </row>
    <row r="46" spans="2:20" ht="15" x14ac:dyDescent="0.25">
      <c r="B46" s="214" t="s">
        <v>118</v>
      </c>
      <c r="C46" s="217">
        <f>IF('VALUT. GLOBALE'!$E$53="X",IF('VALUT. GLOBALE'!$E$5="F-N",'VALUT. GLOBALE'!E3,'VALUT. GLOBALE'!E3/SQRT(3)),IF(AND('VALUT. GLOBALE'!$E$52="X",'VALUT. GLOBALE'!$E$5="F-F"),'VALUT. GLOBALE'!E3,IF('VALUT. GLOBALE'!$E$51="X",'VALUT. GLOBALE'!E3,"ERRORE")))</f>
        <v>57.78</v>
      </c>
    </row>
    <row r="47" spans="2:20" ht="15" x14ac:dyDescent="0.25">
      <c r="B47" s="214" t="s">
        <v>119</v>
      </c>
      <c r="C47" s="217">
        <f>IF(C46&lt;=MIN(C38:C43),MIN(C38:C43),IF(C46&gt;=MAX(C38:C43),MAX(C38:C43),C46))</f>
        <v>80</v>
      </c>
      <c r="D47" s="218">
        <f ca="1">IF(C46="ERRORE","ERRORE",(S39))</f>
        <v>1E-3</v>
      </c>
      <c r="E47" s="219">
        <f ca="1">IF(C46="ERRORE","ERRORE",T39)</f>
        <v>0.13</v>
      </c>
    </row>
    <row r="49" spans="2:23" x14ac:dyDescent="0.2">
      <c r="B49" s="196" t="s">
        <v>121</v>
      </c>
    </row>
    <row r="50" spans="2:23" x14ac:dyDescent="0.2">
      <c r="B50" s="16" t="s">
        <v>110</v>
      </c>
      <c r="C50" s="197">
        <f>'DATI INGRESSO'!O171</f>
        <v>100</v>
      </c>
      <c r="D50" s="16" t="s">
        <v>61</v>
      </c>
    </row>
    <row r="51" spans="2:23" x14ac:dyDescent="0.2">
      <c r="B51" s="16" t="s">
        <v>91</v>
      </c>
      <c r="C51" s="197">
        <f>'DATI INGRESSO'!O178</f>
        <v>0.97</v>
      </c>
      <c r="D51" s="16" t="s">
        <v>84</v>
      </c>
    </row>
    <row r="52" spans="2:23" x14ac:dyDescent="0.2">
      <c r="B52" s="16" t="s">
        <v>92</v>
      </c>
      <c r="C52" s="197">
        <f>'DATI INGRESSO'!O175</f>
        <v>3</v>
      </c>
      <c r="D52" s="16" t="s">
        <v>84</v>
      </c>
    </row>
    <row r="53" spans="2:23" ht="15" x14ac:dyDescent="0.25">
      <c r="B53" s="16" t="s">
        <v>93</v>
      </c>
      <c r="C53" s="230">
        <f>C51/C52</f>
        <v>0.32333333333333331</v>
      </c>
      <c r="H53" s="19"/>
      <c r="I53" s="19"/>
      <c r="J53" s="19"/>
      <c r="K53" s="19"/>
      <c r="L53" s="19"/>
      <c r="M53" s="19"/>
      <c r="N53" s="19"/>
      <c r="O53" s="19"/>
      <c r="P53" s="19"/>
      <c r="Q53" s="19"/>
      <c r="R53" s="19"/>
      <c r="S53" s="19"/>
      <c r="T53" s="19"/>
      <c r="U53" s="19"/>
      <c r="V53" s="19"/>
      <c r="W53" s="19"/>
    </row>
    <row r="54" spans="2:23" x14ac:dyDescent="0.2">
      <c r="B54" s="16" t="s">
        <v>94</v>
      </c>
      <c r="C54" s="198">
        <f>IF(C53&lt;E55,E55,IF(C53&gt;G55,G55,C53))</f>
        <v>0.32333333333333331</v>
      </c>
    </row>
    <row r="55" spans="2:23" x14ac:dyDescent="0.2">
      <c r="B55" s="197"/>
      <c r="C55" s="197"/>
      <c r="D55" s="227" t="s">
        <v>95</v>
      </c>
      <c r="E55" s="220">
        <f>'DATI INGRESSO'!C822</f>
        <v>0.25</v>
      </c>
      <c r="F55" s="227" t="s">
        <v>95</v>
      </c>
      <c r="G55" s="220">
        <f>'DATI INGRESSO'!E822</f>
        <v>1</v>
      </c>
      <c r="H55" s="19"/>
      <c r="I55" s="19"/>
      <c r="J55" s="19"/>
      <c r="K55" s="19"/>
      <c r="L55" s="19"/>
      <c r="M55" s="19"/>
      <c r="N55" s="19"/>
      <c r="O55" s="19"/>
      <c r="P55" s="19"/>
      <c r="Q55" s="19"/>
      <c r="R55" s="19"/>
      <c r="S55" s="19"/>
      <c r="T55" s="19"/>
      <c r="U55" s="19"/>
      <c r="V55" s="19"/>
      <c r="W55" s="19"/>
    </row>
    <row r="56" spans="2:23" ht="32.25" customHeight="1" x14ac:dyDescent="0.2">
      <c r="B56" s="228" t="s">
        <v>111</v>
      </c>
      <c r="C56" s="232" t="s">
        <v>86</v>
      </c>
      <c r="D56" s="228" t="s">
        <v>70</v>
      </c>
      <c r="E56" s="228" t="s">
        <v>71</v>
      </c>
      <c r="F56" s="240" t="s">
        <v>70</v>
      </c>
      <c r="G56" s="228" t="s">
        <v>71</v>
      </c>
      <c r="H56" s="19"/>
      <c r="I56" s="19"/>
      <c r="J56" s="19"/>
      <c r="K56" s="19"/>
      <c r="L56" s="19"/>
      <c r="M56" s="19"/>
      <c r="N56" s="19"/>
      <c r="O56" s="19"/>
      <c r="P56" s="19"/>
      <c r="Q56" s="19"/>
      <c r="R56" s="19"/>
      <c r="S56" s="19"/>
      <c r="T56" s="19"/>
      <c r="U56" s="19"/>
      <c r="V56" s="19"/>
      <c r="W56" s="19"/>
    </row>
    <row r="57" spans="2:23" ht="15.75" x14ac:dyDescent="0.2">
      <c r="B57" s="228"/>
      <c r="C57" s="228"/>
      <c r="D57" s="228" t="s">
        <v>82</v>
      </c>
      <c r="E57" s="228" t="s">
        <v>83</v>
      </c>
      <c r="F57" s="240" t="s">
        <v>82</v>
      </c>
      <c r="G57" s="228" t="s">
        <v>83</v>
      </c>
      <c r="K57" s="201">
        <f>E55</f>
        <v>0.25</v>
      </c>
      <c r="O57" s="201">
        <f>G55</f>
        <v>1</v>
      </c>
      <c r="U57" s="19"/>
      <c r="V57" s="19"/>
      <c r="W57" s="19"/>
    </row>
    <row r="58" spans="2:23" ht="15.75" x14ac:dyDescent="0.2">
      <c r="B58" s="192" t="s">
        <v>1</v>
      </c>
      <c r="C58" s="192" t="s">
        <v>61</v>
      </c>
      <c r="D58" s="192" t="s">
        <v>1</v>
      </c>
      <c r="E58" s="192" t="s">
        <v>85</v>
      </c>
      <c r="F58" s="227" t="s">
        <v>1</v>
      </c>
      <c r="G58" s="192" t="s">
        <v>85</v>
      </c>
      <c r="K58" s="23" t="s">
        <v>82</v>
      </c>
      <c r="L58" s="23" t="s">
        <v>83</v>
      </c>
      <c r="O58" s="23" t="s">
        <v>82</v>
      </c>
      <c r="P58" s="23" t="s">
        <v>83</v>
      </c>
      <c r="S58" s="23" t="s">
        <v>82</v>
      </c>
      <c r="T58" s="23" t="s">
        <v>83</v>
      </c>
      <c r="U58" s="19"/>
      <c r="V58" s="19"/>
      <c r="W58" s="19"/>
    </row>
    <row r="59" spans="2:23" x14ac:dyDescent="0.2">
      <c r="B59" s="192"/>
      <c r="C59" s="192" t="s">
        <v>97</v>
      </c>
      <c r="D59" s="192"/>
      <c r="E59" s="192"/>
      <c r="F59" s="227"/>
      <c r="G59" s="192"/>
      <c r="K59" s="23"/>
      <c r="L59" s="23"/>
      <c r="O59" s="23"/>
      <c r="P59" s="23"/>
      <c r="S59" s="23"/>
      <c r="T59" s="23"/>
      <c r="U59" s="19"/>
      <c r="V59" s="19"/>
      <c r="W59" s="19"/>
    </row>
    <row r="60" spans="2:23" x14ac:dyDescent="0.2">
      <c r="B60" s="233">
        <f>'DATI INGRESSO'!A827</f>
        <v>0.8</v>
      </c>
      <c r="C60" s="192">
        <f t="shared" ref="C60:C65" si="4">IF(B60&gt;0,$C$50*B60,"N.D.")</f>
        <v>80</v>
      </c>
      <c r="D60" s="204">
        <f>'DATI INGRESSO'!B827</f>
        <v>1E-3</v>
      </c>
      <c r="E60" s="205">
        <f>'DATI INGRESSO'!C827</f>
        <v>0.13</v>
      </c>
      <c r="F60" s="204">
        <f>'DATI INGRESSO'!D827</f>
        <v>1E-3</v>
      </c>
      <c r="G60" s="205">
        <f>'DATI INGRESSO'!E827</f>
        <v>0.13</v>
      </c>
      <c r="H60" s="178" t="str">
        <f t="shared" ref="H60:H65" si="5">IF(C60&lt;&gt;"N.D.",IF(C59="N.D.",IF(AND($C$69&gt;=C60,$C$69&lt;C61),"I",0),IF(C61="N.D.",IF(AND($C$69&gt;=C59,$C$69&lt;=C60),"S",0),IF(C62="N.D.",IF(AND($C$69&gt;=C60,$C$69&lt;=C61),"I",IF(AND($C$69&gt;=C59,$C$69&lt;C60),"S",0)),IF(AND($C$69&gt;=C60,$C$69&lt;C61),"I",IF(AND($C$69&gt;=C59,$C$69&lt;C60),"S",0))))),0)</f>
        <v>I</v>
      </c>
      <c r="I60" s="206"/>
      <c r="J60" s="199">
        <f>LOOKUP("I",H60:H65,C60:C65)</f>
        <v>80</v>
      </c>
      <c r="K60" s="189">
        <f ca="1">LOOKUP("I",H60:H65,D60:D64)</f>
        <v>1E-3</v>
      </c>
      <c r="L60" s="188">
        <f ca="1">LOOKUP("I",H60:H65,E60:E64)</f>
        <v>0.13</v>
      </c>
      <c r="N60" s="199">
        <f>LOOKUP("I",H60:H65,C60:C65)</f>
        <v>80</v>
      </c>
      <c r="O60" s="189">
        <f ca="1">LOOKUP("I",H60:H65,F60:F64)</f>
        <v>1E-3</v>
      </c>
      <c r="P60" s="188">
        <f ca="1">LOOKUP("I",H60:H65,G60:G64)</f>
        <v>0.13</v>
      </c>
      <c r="R60" s="207">
        <f>E55</f>
        <v>0.25</v>
      </c>
      <c r="S60" s="189">
        <f ca="1">K61</f>
        <v>1E-3</v>
      </c>
      <c r="T60" s="188">
        <f ca="1">L61</f>
        <v>0.13</v>
      </c>
      <c r="U60" s="19"/>
      <c r="V60" s="19"/>
      <c r="W60" s="19"/>
    </row>
    <row r="61" spans="2:23" x14ac:dyDescent="0.2">
      <c r="B61" s="233">
        <f>'DATI INGRESSO'!A828</f>
        <v>1</v>
      </c>
      <c r="C61" s="192">
        <f t="shared" si="4"/>
        <v>100</v>
      </c>
      <c r="D61" s="204">
        <f>'DATI INGRESSO'!B828</f>
        <v>1.1000000000000001E-3</v>
      </c>
      <c r="E61" s="205">
        <f>'DATI INGRESSO'!C828</f>
        <v>0.14000000000000001</v>
      </c>
      <c r="F61" s="204">
        <f>'DATI INGRESSO'!D828</f>
        <v>1.1000000000000001E-3</v>
      </c>
      <c r="G61" s="205">
        <f>'DATI INGRESSO'!E828</f>
        <v>0.14000000000000001</v>
      </c>
      <c r="H61" s="178" t="str">
        <f t="shared" si="5"/>
        <v>S</v>
      </c>
      <c r="I61" s="206"/>
      <c r="J61" s="16">
        <f>C69</f>
        <v>80</v>
      </c>
      <c r="K61" s="208">
        <f ca="1">(J61-J60)/(J62-J60)*(K62-K60)+K60</f>
        <v>1E-3</v>
      </c>
      <c r="L61" s="192">
        <f ca="1">(J61-J60)/(J62-J60)*(L62-L60)+L60</f>
        <v>0.13</v>
      </c>
      <c r="N61" s="16">
        <f>C69</f>
        <v>80</v>
      </c>
      <c r="O61" s="208">
        <f ca="1">(N61-N60)/(N62-N60)*(O62-O60)+O60</f>
        <v>1E-3</v>
      </c>
      <c r="P61" s="192">
        <f ca="1">(N61-N60)/(N62-N60)*(P62-P60)+P60</f>
        <v>0.13</v>
      </c>
      <c r="R61" s="209">
        <f>C54</f>
        <v>0.32333333333333331</v>
      </c>
      <c r="S61" s="208">
        <f ca="1">(R61-R60)/(R62-R60)*(S62-S60)+S60</f>
        <v>1E-3</v>
      </c>
      <c r="T61" s="192">
        <f ca="1">(R61-R60)/(R62-R60)*(T62-T60)+T60</f>
        <v>0.13</v>
      </c>
      <c r="U61" s="19"/>
      <c r="V61" s="19"/>
      <c r="W61" s="19"/>
    </row>
    <row r="62" spans="2:23" x14ac:dyDescent="0.2">
      <c r="B62" s="233">
        <f>'DATI INGRESSO'!A829</f>
        <v>1.2</v>
      </c>
      <c r="C62" s="192">
        <f t="shared" si="4"/>
        <v>120</v>
      </c>
      <c r="D62" s="204">
        <f>'DATI INGRESSO'!B829</f>
        <v>1.1999999999999999E-3</v>
      </c>
      <c r="E62" s="205">
        <f>'DATI INGRESSO'!C829</f>
        <v>0.15</v>
      </c>
      <c r="F62" s="204">
        <f>'DATI INGRESSO'!D829</f>
        <v>1.1999999999999999E-3</v>
      </c>
      <c r="G62" s="205">
        <f>'DATI INGRESSO'!E829</f>
        <v>0.15</v>
      </c>
      <c r="H62" s="178">
        <f t="shared" si="5"/>
        <v>0</v>
      </c>
      <c r="I62" s="206"/>
      <c r="J62" s="199">
        <f>LOOKUP("S",H60:H65,C60:C65)</f>
        <v>100</v>
      </c>
      <c r="K62" s="189">
        <f ca="1">LOOKUP("S",H60:H65,D60:D64)</f>
        <v>1.1000000000000001E-3</v>
      </c>
      <c r="L62" s="188">
        <f ca="1">LOOKUP("S",H60:H65,E60:E64)</f>
        <v>0.14000000000000001</v>
      </c>
      <c r="N62" s="199">
        <f>LOOKUP("S",H60:H65,C60:C65)</f>
        <v>100</v>
      </c>
      <c r="O62" s="189">
        <f ca="1">LOOKUP("S",H60:H65,F60:F64)</f>
        <v>1.1000000000000001E-3</v>
      </c>
      <c r="P62" s="188">
        <f ca="1">LOOKUP("S",H60:H65,G60:G64)</f>
        <v>0.14000000000000001</v>
      </c>
      <c r="R62" s="207">
        <f>G55</f>
        <v>1</v>
      </c>
      <c r="S62" s="189">
        <f ca="1">O61</f>
        <v>1E-3</v>
      </c>
      <c r="T62" s="188">
        <f ca="1">P61</f>
        <v>0.13</v>
      </c>
      <c r="U62" s="19"/>
      <c r="V62" s="19"/>
      <c r="W62" s="19"/>
    </row>
    <row r="63" spans="2:23" x14ac:dyDescent="0.2">
      <c r="B63" s="233">
        <f>'DATI INGRESSO'!A830</f>
        <v>0</v>
      </c>
      <c r="C63" s="192" t="str">
        <f t="shared" si="4"/>
        <v>N.D.</v>
      </c>
      <c r="D63" s="204">
        <f>'DATI INGRESSO'!B830</f>
        <v>0</v>
      </c>
      <c r="E63" s="205">
        <f>'DATI INGRESSO'!C830</f>
        <v>0</v>
      </c>
      <c r="F63" s="204">
        <f>'DATI INGRESSO'!D830</f>
        <v>0</v>
      </c>
      <c r="G63" s="205">
        <f>'DATI INGRESSO'!E830</f>
        <v>0</v>
      </c>
      <c r="H63" s="178">
        <f t="shared" si="5"/>
        <v>0</v>
      </c>
      <c r="I63" s="206"/>
    </row>
    <row r="64" spans="2:23" x14ac:dyDescent="0.2">
      <c r="B64" s="233">
        <f>'DATI INGRESSO'!A831</f>
        <v>0</v>
      </c>
      <c r="C64" s="192" t="str">
        <f t="shared" si="4"/>
        <v>N.D.</v>
      </c>
      <c r="D64" s="204">
        <f>'DATI INGRESSO'!B831</f>
        <v>0</v>
      </c>
      <c r="E64" s="205">
        <f>'DATI INGRESSO'!C831</f>
        <v>0</v>
      </c>
      <c r="F64" s="204">
        <f>'DATI INGRESSO'!D831</f>
        <v>0</v>
      </c>
      <c r="G64" s="205">
        <f>'DATI INGRESSO'!E831</f>
        <v>0</v>
      </c>
      <c r="H64" s="178">
        <f t="shared" si="5"/>
        <v>0</v>
      </c>
      <c r="I64" s="206"/>
    </row>
    <row r="65" spans="2:23" x14ac:dyDescent="0.2">
      <c r="B65" s="233">
        <f>'DATI INGRESSO'!A832</f>
        <v>0</v>
      </c>
      <c r="C65" s="192" t="str">
        <f t="shared" si="4"/>
        <v>N.D.</v>
      </c>
      <c r="D65" s="204">
        <f>'DATI INGRESSO'!B832</f>
        <v>0</v>
      </c>
      <c r="E65" s="205">
        <f>'DATI INGRESSO'!C832</f>
        <v>0</v>
      </c>
      <c r="F65" s="204">
        <f>'DATI INGRESSO'!D832</f>
        <v>0</v>
      </c>
      <c r="G65" s="205">
        <f>'DATI INGRESSO'!E832</f>
        <v>0</v>
      </c>
      <c r="H65" s="178">
        <f t="shared" si="5"/>
        <v>0</v>
      </c>
      <c r="I65" s="206"/>
    </row>
    <row r="66" spans="2:23" s="197" customFormat="1" ht="15" x14ac:dyDescent="0.25">
      <c r="B66" s="238"/>
      <c r="C66" s="25" t="s">
        <v>97</v>
      </c>
      <c r="D66" s="223"/>
      <c r="E66" s="224"/>
      <c r="F66" s="223"/>
      <c r="G66" s="224"/>
      <c r="H66" s="206"/>
      <c r="I66" s="206"/>
      <c r="J66" s="16"/>
      <c r="K66" s="16"/>
      <c r="L66" s="16"/>
      <c r="M66" s="16"/>
      <c r="N66" s="16"/>
      <c r="O66" s="16"/>
      <c r="P66" s="16"/>
      <c r="Q66" s="16"/>
      <c r="R66" s="16"/>
      <c r="S66" s="16"/>
      <c r="T66" s="16"/>
      <c r="U66" s="16"/>
      <c r="V66" s="16"/>
      <c r="W66" s="16"/>
    </row>
    <row r="67" spans="2:23" ht="15" x14ac:dyDescent="0.25">
      <c r="B67" s="236"/>
      <c r="C67" s="25" t="s">
        <v>97</v>
      </c>
      <c r="D67" s="237"/>
      <c r="E67" s="224"/>
      <c r="H67" s="19"/>
      <c r="I67" s="19"/>
    </row>
    <row r="68" spans="2:23" ht="15" x14ac:dyDescent="0.25">
      <c r="B68" s="214" t="s">
        <v>118</v>
      </c>
      <c r="C68" s="217">
        <f>IF('VALUT. GLOBALE'!$E$53="X",IF('VALUT. GLOBALE'!$E$5="F-N",'VALUT. GLOBALE'!E4,'VALUT. GLOBALE'!E4/SQRT(3)),IF(AND('VALUT. GLOBALE'!$E$52="X",'VALUT. GLOBALE'!$E$5="F-F"),'VALUT. GLOBALE'!E4,IF('VALUT. GLOBALE'!$E$51="X",'VALUT. GLOBALE'!E4,"ERRORE")))</f>
        <v>57.71</v>
      </c>
    </row>
    <row r="69" spans="2:23" ht="15" x14ac:dyDescent="0.25">
      <c r="B69" s="214" t="s">
        <v>119</v>
      </c>
      <c r="C69" s="217">
        <f>IF(C68&lt;=MIN(C60:C65),MIN(C60:C65),IF(C68&gt;=MAX(C60:C65),MAX(C60:C65),C68))</f>
        <v>80</v>
      </c>
      <c r="D69" s="218">
        <f ca="1">IF(C68="ERRORE","ERRORE",(S61))</f>
        <v>1E-3</v>
      </c>
      <c r="E69" s="219">
        <f ca="1">IF(C68="ERRORE","ERRORE",T61)</f>
        <v>0.13</v>
      </c>
      <c r="H69" s="19"/>
      <c r="I69" s="19"/>
      <c r="J69" s="19"/>
      <c r="K69" s="19"/>
      <c r="L69" s="19"/>
      <c r="M69" s="19"/>
      <c r="N69" s="19"/>
      <c r="O69" s="19"/>
      <c r="P69" s="19"/>
      <c r="Q69" s="19"/>
      <c r="R69" s="19"/>
      <c r="S69" s="19"/>
      <c r="T69" s="19"/>
      <c r="U69" s="19"/>
      <c r="V69" s="19"/>
      <c r="W69" s="19"/>
    </row>
  </sheetData>
  <sheetProtection algorithmName="SHA-512" hashValue="cYCgG8A+Zrbkiv6PMGLmcPuuFWTMyWnPebJW2S17VhBcDbMz4YKYNC5jXjpSpDDereg+DeAFPU5jYP3a2+pz3Q==" saltValue="BVEZdRlQs368hJt+8UI6xw==" spinCount="100000" sheet="1" objects="1" scenarios="1"/>
  <pageMargins left="0.75" right="0.75" top="1" bottom="1" header="0.5" footer="0.5"/>
  <pageSetup paperSize="9" orientation="portrait"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8"/>
  <dimension ref="A1:K40"/>
  <sheetViews>
    <sheetView workbookViewId="0">
      <selection activeCell="P33" sqref="P33"/>
    </sheetView>
  </sheetViews>
  <sheetFormatPr defaultRowHeight="12.75" x14ac:dyDescent="0.2"/>
  <cols>
    <col min="1" max="1" width="49.42578125" style="16" bestFit="1" customWidth="1"/>
    <col min="2" max="2" width="9.140625" style="16"/>
    <col min="3" max="3" width="15.85546875" style="16" customWidth="1"/>
    <col min="4" max="4" width="13.7109375" style="16" customWidth="1"/>
    <col min="5" max="5" width="17.5703125" style="16" customWidth="1"/>
    <col min="6" max="6" width="9.140625" style="16"/>
    <col min="7" max="7" width="22" style="16" customWidth="1"/>
    <col min="8" max="8" width="15.5703125" style="16" customWidth="1"/>
    <col min="9" max="9" width="11.5703125" style="16" bestFit="1" customWidth="1"/>
    <col min="10" max="16384" width="9.140625" style="16"/>
  </cols>
  <sheetData>
    <row r="1" spans="1:11" x14ac:dyDescent="0.2">
      <c r="A1" s="16" t="s">
        <v>122</v>
      </c>
    </row>
    <row r="3" spans="1:11" x14ac:dyDescent="0.2">
      <c r="A3" s="196" t="s">
        <v>123</v>
      </c>
    </row>
    <row r="4" spans="1:11" x14ac:dyDescent="0.2">
      <c r="A4" s="241" t="s">
        <v>124</v>
      </c>
      <c r="B4" s="192">
        <f>'DATI INGRESSO'!D982</f>
        <v>0</v>
      </c>
      <c r="C4" s="16" t="s">
        <v>125</v>
      </c>
    </row>
    <row r="5" spans="1:11" x14ac:dyDescent="0.2">
      <c r="A5" s="241" t="s">
        <v>126</v>
      </c>
      <c r="B5" s="192">
        <f>'DATI INGRESSO'!D983</f>
        <v>0</v>
      </c>
      <c r="C5" s="16" t="s">
        <v>127</v>
      </c>
    </row>
    <row r="6" spans="1:11" x14ac:dyDescent="0.2">
      <c r="A6" s="241" t="s">
        <v>128</v>
      </c>
      <c r="B6" s="192">
        <f>IF('VALUT. GLOBALE'!$E$53="X",IF('VALUT. GLOBALE'!$E$5="F-N",'VALUT. GLOBALE'!E2,'VALUT. GLOBALE'!E2/SQRT(3)),IF(AND('VALUT. GLOBALE'!$E$52="X",'VALUT. GLOBALE'!$E$5="F-F"),'VALUT. GLOBALE'!E2,IF('VALUT. GLOBALE'!$E$51="X",'VALUT. GLOBALE'!E2,"ERRORE")))</f>
        <v>57.73</v>
      </c>
      <c r="C6" s="16" t="s">
        <v>61</v>
      </c>
    </row>
    <row r="7" spans="1:11" ht="43.5" customHeight="1" x14ac:dyDescent="0.2">
      <c r="A7" s="23" t="s">
        <v>129</v>
      </c>
      <c r="B7" s="23" t="s">
        <v>130</v>
      </c>
      <c r="C7" s="23" t="s">
        <v>131</v>
      </c>
      <c r="D7" s="24" t="s">
        <v>661</v>
      </c>
      <c r="E7" s="23" t="s">
        <v>747</v>
      </c>
      <c r="G7" s="23" t="s">
        <v>132</v>
      </c>
      <c r="H7" s="23" t="s">
        <v>133</v>
      </c>
      <c r="J7" s="25" t="s">
        <v>134</v>
      </c>
      <c r="K7" s="25"/>
    </row>
    <row r="8" spans="1:11" ht="15.75" x14ac:dyDescent="0.2">
      <c r="A8" s="23"/>
      <c r="B8" s="23"/>
      <c r="C8" s="23" t="s">
        <v>135</v>
      </c>
      <c r="D8" s="23" t="s">
        <v>136</v>
      </c>
      <c r="E8" s="23" t="s">
        <v>137</v>
      </c>
      <c r="G8" s="23" t="s">
        <v>138</v>
      </c>
      <c r="H8" s="23" t="s">
        <v>139</v>
      </c>
      <c r="J8" s="25" t="s">
        <v>140</v>
      </c>
      <c r="K8" s="25" t="s">
        <v>141</v>
      </c>
    </row>
    <row r="9" spans="1:11" x14ac:dyDescent="0.2">
      <c r="A9" s="25"/>
      <c r="B9" s="25"/>
      <c r="C9" s="32" t="s">
        <v>142</v>
      </c>
      <c r="D9" s="32" t="s">
        <v>143</v>
      </c>
      <c r="E9" s="32" t="s">
        <v>144</v>
      </c>
      <c r="G9" s="25" t="s">
        <v>1</v>
      </c>
      <c r="H9" s="25" t="s">
        <v>85</v>
      </c>
      <c r="J9" s="25">
        <v>1.5</v>
      </c>
      <c r="K9" s="25">
        <v>13.7</v>
      </c>
    </row>
    <row r="10" spans="1:11" ht="15" x14ac:dyDescent="0.25">
      <c r="A10" s="242" t="s">
        <v>145</v>
      </c>
      <c r="B10" s="25" t="s">
        <v>29</v>
      </c>
      <c r="C10" s="192">
        <f>'DATI INGRESSO'!D948</f>
        <v>0</v>
      </c>
      <c r="D10" s="192">
        <f>'DATI INGRESSO'!E948</f>
        <v>0</v>
      </c>
      <c r="E10" s="192">
        <f>C10*D10/1000</f>
        <v>0</v>
      </c>
      <c r="G10" s="243">
        <f>(-E14*B4/(B6*B6))</f>
        <v>0</v>
      </c>
      <c r="H10" s="25">
        <f>(E14*B5/(B6*B6)*100)</f>
        <v>0</v>
      </c>
      <c r="J10" s="25">
        <v>2.5</v>
      </c>
      <c r="K10" s="25">
        <v>8.2100000000000009</v>
      </c>
    </row>
    <row r="11" spans="1:11" x14ac:dyDescent="0.2">
      <c r="A11" s="242" t="s">
        <v>146</v>
      </c>
      <c r="B11" s="25" t="s">
        <v>147</v>
      </c>
      <c r="C11" s="192">
        <f>'DATI INGRESSO'!D949</f>
        <v>0</v>
      </c>
      <c r="D11" s="192">
        <f>'DATI INGRESSO'!E949</f>
        <v>0</v>
      </c>
      <c r="E11" s="192">
        <f>C11*D11/1000</f>
        <v>0</v>
      </c>
      <c r="J11" s="25">
        <v>4</v>
      </c>
      <c r="K11" s="25">
        <v>5.09</v>
      </c>
    </row>
    <row r="12" spans="1:11" x14ac:dyDescent="0.2">
      <c r="A12" s="242" t="s">
        <v>148</v>
      </c>
      <c r="B12" s="25" t="s">
        <v>149</v>
      </c>
      <c r="C12" s="192">
        <f>'DATI INGRESSO'!D950</f>
        <v>0</v>
      </c>
      <c r="D12" s="192">
        <f>'DATI INGRESSO'!E950</f>
        <v>0</v>
      </c>
      <c r="E12" s="192">
        <f>C12*D12/1000</f>
        <v>0</v>
      </c>
      <c r="J12" s="25">
        <v>6</v>
      </c>
      <c r="K12" s="25">
        <v>3.39</v>
      </c>
    </row>
    <row r="13" spans="1:11" x14ac:dyDescent="0.2">
      <c r="A13" s="242" t="s">
        <v>150</v>
      </c>
      <c r="B13" s="25" t="s">
        <v>151</v>
      </c>
      <c r="C13" s="192">
        <f>'DATI INGRESSO'!D951</f>
        <v>0</v>
      </c>
      <c r="D13" s="192">
        <f>'DATI INGRESSO'!E951</f>
        <v>0</v>
      </c>
      <c r="E13" s="192">
        <f>C13*D13/1000</f>
        <v>0</v>
      </c>
      <c r="J13" s="25">
        <v>10</v>
      </c>
      <c r="K13" s="25">
        <v>1.95</v>
      </c>
    </row>
    <row r="14" spans="1:11" x14ac:dyDescent="0.2">
      <c r="D14" s="172">
        <f>SUM(D10:D13)</f>
        <v>0</v>
      </c>
      <c r="E14" s="244">
        <f>SUM(E10:E13)</f>
        <v>0</v>
      </c>
    </row>
    <row r="16" spans="1:11" x14ac:dyDescent="0.2">
      <c r="A16" s="196" t="s">
        <v>152</v>
      </c>
    </row>
    <row r="17" spans="1:8" x14ac:dyDescent="0.2">
      <c r="A17" s="241" t="s">
        <v>124</v>
      </c>
      <c r="B17" s="188">
        <f>B4</f>
        <v>0</v>
      </c>
      <c r="C17" s="16" t="s">
        <v>125</v>
      </c>
    </row>
    <row r="18" spans="1:8" x14ac:dyDescent="0.2">
      <c r="A18" s="241" t="s">
        <v>126</v>
      </c>
      <c r="B18" s="188">
        <f>B5</f>
        <v>0</v>
      </c>
      <c r="C18" s="16" t="s">
        <v>127</v>
      </c>
    </row>
    <row r="19" spans="1:8" x14ac:dyDescent="0.2">
      <c r="A19" s="241" t="s">
        <v>128</v>
      </c>
      <c r="B19" s="192">
        <f>IF('VALUT. GLOBALE'!$E$53="X",IF('VALUT. GLOBALE'!$E$5="F-N",'VALUT. GLOBALE'!E3,'VALUT. GLOBALE'!E3/SQRT(3)),IF(AND('VALUT. GLOBALE'!$E$52="X",'VALUT. GLOBALE'!$E$5="F-F"),'VALUT. GLOBALE'!E3,IF('VALUT. GLOBALE'!$E$51="X",'VALUT. GLOBALE'!E3,"ERRORE")))</f>
        <v>57.78</v>
      </c>
      <c r="C19" s="16" t="s">
        <v>61</v>
      </c>
    </row>
    <row r="20" spans="1:8" ht="43.5" customHeight="1" x14ac:dyDescent="0.2">
      <c r="A20" s="23" t="s">
        <v>129</v>
      </c>
      <c r="B20" s="23" t="s">
        <v>130</v>
      </c>
      <c r="C20" s="23" t="s">
        <v>131</v>
      </c>
      <c r="D20" s="24" t="s">
        <v>661</v>
      </c>
      <c r="E20" s="23" t="s">
        <v>747</v>
      </c>
      <c r="G20" s="23" t="s">
        <v>132</v>
      </c>
      <c r="H20" s="23" t="s">
        <v>133</v>
      </c>
    </row>
    <row r="21" spans="1:8" ht="15.75" x14ac:dyDescent="0.2">
      <c r="A21" s="23"/>
      <c r="B21" s="23"/>
      <c r="C21" s="23" t="s">
        <v>153</v>
      </c>
      <c r="D21" s="23" t="s">
        <v>154</v>
      </c>
      <c r="E21" s="23" t="s">
        <v>155</v>
      </c>
      <c r="G21" s="23" t="s">
        <v>156</v>
      </c>
      <c r="H21" s="23" t="s">
        <v>157</v>
      </c>
    </row>
    <row r="22" spans="1:8" x14ac:dyDescent="0.2">
      <c r="A22" s="25"/>
      <c r="B22" s="25"/>
      <c r="C22" s="32" t="s">
        <v>142</v>
      </c>
      <c r="D22" s="32" t="s">
        <v>143</v>
      </c>
      <c r="E22" s="32" t="s">
        <v>144</v>
      </c>
      <c r="G22" s="25" t="s">
        <v>1</v>
      </c>
      <c r="H22" s="25" t="s">
        <v>85</v>
      </c>
    </row>
    <row r="23" spans="1:8" ht="15" x14ac:dyDescent="0.25">
      <c r="A23" s="242" t="s">
        <v>145</v>
      </c>
      <c r="B23" s="25" t="s">
        <v>29</v>
      </c>
      <c r="C23" s="192">
        <f>'DATI INGRESSO'!D961</f>
        <v>0</v>
      </c>
      <c r="D23" s="192">
        <f>'DATI INGRESSO'!E961</f>
        <v>0</v>
      </c>
      <c r="E23" s="192">
        <f>C23*D23/1000</f>
        <v>0</v>
      </c>
      <c r="G23" s="243">
        <f>(-E27*B17/(B19*B19))</f>
        <v>0</v>
      </c>
      <c r="H23" s="25">
        <f>(E27*B18/(B19*B19)*100)</f>
        <v>0</v>
      </c>
    </row>
    <row r="24" spans="1:8" x14ac:dyDescent="0.2">
      <c r="A24" s="242" t="s">
        <v>146</v>
      </c>
      <c r="B24" s="25" t="s">
        <v>147</v>
      </c>
      <c r="C24" s="192">
        <f>'DATI INGRESSO'!D962</f>
        <v>0</v>
      </c>
      <c r="D24" s="192">
        <f>'DATI INGRESSO'!E962</f>
        <v>0</v>
      </c>
      <c r="E24" s="192">
        <f>C24*D24/1000</f>
        <v>0</v>
      </c>
    </row>
    <row r="25" spans="1:8" x14ac:dyDescent="0.2">
      <c r="A25" s="242" t="s">
        <v>148</v>
      </c>
      <c r="B25" s="25" t="s">
        <v>149</v>
      </c>
      <c r="C25" s="192">
        <f>'DATI INGRESSO'!D963</f>
        <v>0</v>
      </c>
      <c r="D25" s="192">
        <f>'DATI INGRESSO'!E963</f>
        <v>0</v>
      </c>
      <c r="E25" s="192">
        <f>C25*D25/1000</f>
        <v>0</v>
      </c>
    </row>
    <row r="26" spans="1:8" x14ac:dyDescent="0.2">
      <c r="A26" s="242" t="s">
        <v>150</v>
      </c>
      <c r="B26" s="25" t="s">
        <v>151</v>
      </c>
      <c r="C26" s="192">
        <f>'DATI INGRESSO'!D964</f>
        <v>0</v>
      </c>
      <c r="D26" s="192">
        <f>'DATI INGRESSO'!E964</f>
        <v>0</v>
      </c>
      <c r="E26" s="192">
        <f>C26*D26/1000</f>
        <v>0</v>
      </c>
    </row>
    <row r="27" spans="1:8" x14ac:dyDescent="0.2">
      <c r="D27" s="172">
        <f>SUM(D23:D26)</f>
        <v>0</v>
      </c>
      <c r="E27" s="244">
        <f>SUM(E23:E26)</f>
        <v>0</v>
      </c>
    </row>
    <row r="29" spans="1:8" x14ac:dyDescent="0.2">
      <c r="A29" s="196" t="s">
        <v>158</v>
      </c>
    </row>
    <row r="30" spans="1:8" x14ac:dyDescent="0.2">
      <c r="A30" s="241" t="s">
        <v>124</v>
      </c>
      <c r="B30" s="188">
        <f>B17</f>
        <v>0</v>
      </c>
      <c r="C30" s="16" t="s">
        <v>125</v>
      </c>
    </row>
    <row r="31" spans="1:8" x14ac:dyDescent="0.2">
      <c r="A31" s="241" t="s">
        <v>126</v>
      </c>
      <c r="B31" s="188">
        <f>B18</f>
        <v>0</v>
      </c>
      <c r="C31" s="16" t="s">
        <v>127</v>
      </c>
    </row>
    <row r="32" spans="1:8" x14ac:dyDescent="0.2">
      <c r="A32" s="241" t="s">
        <v>128</v>
      </c>
      <c r="B32" s="192">
        <f>IF('VALUT. GLOBALE'!$E$53="X",IF('VALUT. GLOBALE'!$E$5="F-N",'VALUT. GLOBALE'!E4,'VALUT. GLOBALE'!E4/SQRT(3)),IF(AND('VALUT. GLOBALE'!$E$52="X",'VALUT. GLOBALE'!$E$5="F-F"),'VALUT. GLOBALE'!E4,IF('VALUT. GLOBALE'!$E$51="X",'VALUT. GLOBALE'!E4,"ERRORE")))</f>
        <v>57.71</v>
      </c>
      <c r="C32" s="16" t="s">
        <v>61</v>
      </c>
    </row>
    <row r="33" spans="1:8" ht="43.5" customHeight="1" x14ac:dyDescent="0.2">
      <c r="A33" s="23" t="s">
        <v>129</v>
      </c>
      <c r="B33" s="23" t="s">
        <v>130</v>
      </c>
      <c r="C33" s="23" t="s">
        <v>131</v>
      </c>
      <c r="D33" s="24" t="s">
        <v>661</v>
      </c>
      <c r="E33" s="23" t="s">
        <v>747</v>
      </c>
      <c r="G33" s="23" t="s">
        <v>132</v>
      </c>
      <c r="H33" s="23" t="s">
        <v>133</v>
      </c>
    </row>
    <row r="34" spans="1:8" ht="15.75" x14ac:dyDescent="0.2">
      <c r="A34" s="23"/>
      <c r="B34" s="23"/>
      <c r="C34" s="23" t="s">
        <v>159</v>
      </c>
      <c r="D34" s="23" t="s">
        <v>160</v>
      </c>
      <c r="E34" s="23" t="s">
        <v>161</v>
      </c>
      <c r="G34" s="23" t="s">
        <v>162</v>
      </c>
      <c r="H34" s="23" t="s">
        <v>163</v>
      </c>
    </row>
    <row r="35" spans="1:8" x14ac:dyDescent="0.2">
      <c r="A35" s="25"/>
      <c r="B35" s="25"/>
      <c r="C35" s="32" t="s">
        <v>142</v>
      </c>
      <c r="D35" s="32" t="s">
        <v>143</v>
      </c>
      <c r="E35" s="32" t="s">
        <v>144</v>
      </c>
      <c r="G35" s="25" t="s">
        <v>1</v>
      </c>
      <c r="H35" s="25" t="s">
        <v>85</v>
      </c>
    </row>
    <row r="36" spans="1:8" ht="15" x14ac:dyDescent="0.25">
      <c r="A36" s="242" t="s">
        <v>145</v>
      </c>
      <c r="B36" s="25" t="s">
        <v>29</v>
      </c>
      <c r="C36" s="192">
        <f>'DATI INGRESSO'!D974</f>
        <v>0</v>
      </c>
      <c r="D36" s="192">
        <f>'DATI INGRESSO'!E974</f>
        <v>0</v>
      </c>
      <c r="E36" s="192">
        <f>C36*D36/1000</f>
        <v>0</v>
      </c>
      <c r="G36" s="243">
        <f>(-E40*B30/(B32*B32))</f>
        <v>0</v>
      </c>
      <c r="H36" s="25">
        <f>(E40*B31/(B32*B32)*100)</f>
        <v>0</v>
      </c>
    </row>
    <row r="37" spans="1:8" x14ac:dyDescent="0.2">
      <c r="A37" s="242" t="s">
        <v>146</v>
      </c>
      <c r="B37" s="25" t="s">
        <v>147</v>
      </c>
      <c r="C37" s="192">
        <f>'DATI INGRESSO'!D975</f>
        <v>0</v>
      </c>
      <c r="D37" s="192">
        <f>'DATI INGRESSO'!E975</f>
        <v>0</v>
      </c>
      <c r="E37" s="192">
        <f>C37*D37/1000</f>
        <v>0</v>
      </c>
    </row>
    <row r="38" spans="1:8" x14ac:dyDescent="0.2">
      <c r="A38" s="242" t="s">
        <v>148</v>
      </c>
      <c r="B38" s="25" t="s">
        <v>149</v>
      </c>
      <c r="C38" s="192">
        <f>'DATI INGRESSO'!D976</f>
        <v>0</v>
      </c>
      <c r="D38" s="192">
        <f>'DATI INGRESSO'!E976</f>
        <v>0</v>
      </c>
      <c r="E38" s="192">
        <f>C38*D38/1000</f>
        <v>0</v>
      </c>
    </row>
    <row r="39" spans="1:8" x14ac:dyDescent="0.2">
      <c r="A39" s="242" t="s">
        <v>150</v>
      </c>
      <c r="B39" s="25" t="s">
        <v>151</v>
      </c>
      <c r="C39" s="192">
        <f>'DATI INGRESSO'!D977</f>
        <v>0</v>
      </c>
      <c r="D39" s="192">
        <f>'DATI INGRESSO'!E977</f>
        <v>0</v>
      </c>
      <c r="E39" s="192">
        <f>C39*D39/1000</f>
        <v>0</v>
      </c>
    </row>
    <row r="40" spans="1:8" x14ac:dyDescent="0.2">
      <c r="D40" s="172">
        <f>SUM(D36:D39)</f>
        <v>0</v>
      </c>
      <c r="E40" s="244">
        <f>SUM(E36:E39)</f>
        <v>0</v>
      </c>
    </row>
  </sheetData>
  <sheetProtection algorithmName="SHA-512" hashValue="3TL/YS2EuFPvpp/0oHavma9O3ixY0gib8oIfjJ6hUDM7R9hsd7PvHVnKsYn4S7CC8QQFhqSITiWeW5oCf1vjOQ==" saltValue="GgNKSmVhU5r+mcM7K7EV3w==" spinCount="100000" sheet="1" objects="1" scenarios="1"/>
  <pageMargins left="0.75" right="0.75" top="1" bottom="1" header="0.5" footer="0.5"/>
  <pageSetup paperSize="9"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3">
    <pageSetUpPr fitToPage="1"/>
  </sheetPr>
  <dimension ref="A2:M23"/>
  <sheetViews>
    <sheetView zoomScale="130" zoomScaleNormal="130" workbookViewId="0">
      <selection activeCell="Q22" sqref="Q22"/>
    </sheetView>
  </sheetViews>
  <sheetFormatPr defaultRowHeight="15" x14ac:dyDescent="0.25"/>
  <cols>
    <col min="1" max="1" width="15.7109375" style="1" bestFit="1" customWidth="1"/>
    <col min="2" max="16384" width="9.140625" style="1"/>
  </cols>
  <sheetData>
    <row r="2" spans="1:13" x14ac:dyDescent="0.25">
      <c r="B2" s="1371" t="s">
        <v>46</v>
      </c>
      <c r="C2" s="1371"/>
      <c r="D2" s="1371"/>
      <c r="E2" s="1371"/>
      <c r="F2" s="1371"/>
      <c r="G2" s="1371"/>
      <c r="H2" s="1371"/>
      <c r="I2" s="1371"/>
      <c r="J2" s="1371"/>
      <c r="K2" s="1371"/>
      <c r="L2" s="1371"/>
      <c r="M2" s="1371"/>
    </row>
    <row r="3" spans="1:13" x14ac:dyDescent="0.25">
      <c r="B3" s="1371" t="s">
        <v>47</v>
      </c>
      <c r="C3" s="1371"/>
      <c r="D3" s="1371"/>
      <c r="E3" s="1371" t="s">
        <v>49</v>
      </c>
      <c r="F3" s="1371"/>
      <c r="G3" s="1371"/>
      <c r="H3" s="1371" t="s">
        <v>51</v>
      </c>
      <c r="I3" s="1371"/>
      <c r="J3" s="1371"/>
      <c r="K3" s="1371" t="s">
        <v>53</v>
      </c>
      <c r="L3" s="1371"/>
      <c r="M3" s="1371"/>
    </row>
    <row r="4" spans="1:13" x14ac:dyDescent="0.25">
      <c r="B4" s="1371" t="s">
        <v>48</v>
      </c>
      <c r="C4" s="1371"/>
      <c r="D4" s="1371"/>
      <c r="E4" s="1371" t="s">
        <v>50</v>
      </c>
      <c r="F4" s="1371"/>
      <c r="G4" s="1371"/>
      <c r="H4" s="1371" t="s">
        <v>52</v>
      </c>
      <c r="I4" s="1371"/>
      <c r="J4" s="1371"/>
      <c r="K4" s="1371"/>
      <c r="L4" s="1371"/>
      <c r="M4" s="1371"/>
    </row>
    <row r="5" spans="1:13" x14ac:dyDescent="0.25">
      <c r="A5" s="9" t="s">
        <v>54</v>
      </c>
      <c r="B5" s="106" t="s">
        <v>20</v>
      </c>
      <c r="C5" s="106" t="s">
        <v>0</v>
      </c>
      <c r="D5" s="106" t="s">
        <v>13</v>
      </c>
      <c r="E5" s="106" t="s">
        <v>20</v>
      </c>
      <c r="F5" s="106" t="s">
        <v>0</v>
      </c>
      <c r="G5" s="106" t="s">
        <v>13</v>
      </c>
      <c r="H5" s="106" t="s">
        <v>20</v>
      </c>
      <c r="I5" s="106" t="s">
        <v>0</v>
      </c>
      <c r="J5" s="106" t="s">
        <v>13</v>
      </c>
      <c r="K5" s="106" t="s">
        <v>20</v>
      </c>
      <c r="L5" s="106" t="s">
        <v>0</v>
      </c>
      <c r="M5" s="106" t="s">
        <v>13</v>
      </c>
    </row>
    <row r="6" spans="1:13" x14ac:dyDescent="0.25">
      <c r="A6" s="9"/>
      <c r="B6" s="1371" t="s">
        <v>56</v>
      </c>
      <c r="C6" s="1371"/>
      <c r="D6" s="1371"/>
      <c r="E6" s="1371"/>
      <c r="F6" s="1371"/>
      <c r="G6" s="1371"/>
      <c r="H6" s="1371"/>
      <c r="I6" s="1371"/>
      <c r="J6" s="1371"/>
      <c r="K6" s="1371"/>
      <c r="L6" s="1371"/>
      <c r="M6" s="1371"/>
    </row>
    <row r="7" spans="1:13" ht="18" x14ac:dyDescent="0.35">
      <c r="A7" s="9" t="s">
        <v>33</v>
      </c>
      <c r="B7" s="160">
        <v>0.09</v>
      </c>
      <c r="C7" s="160">
        <v>0.04</v>
      </c>
      <c r="D7" s="160">
        <v>0.02</v>
      </c>
      <c r="E7" s="160">
        <v>7.0000000000000007E-2</v>
      </c>
      <c r="F7" s="160">
        <v>3.5000000000000003E-2</v>
      </c>
      <c r="G7" s="160">
        <v>1.7000000000000001E-2</v>
      </c>
      <c r="H7" s="160">
        <v>0.05</v>
      </c>
      <c r="I7" s="160">
        <v>2.5000000000000001E-2</v>
      </c>
      <c r="J7" s="160">
        <v>1.2999999999999999E-2</v>
      </c>
      <c r="K7" s="160">
        <v>3.5000000000000003E-2</v>
      </c>
      <c r="L7" s="160">
        <v>0.02</v>
      </c>
      <c r="M7" s="160">
        <v>0.01</v>
      </c>
    </row>
    <row r="8" spans="1:13" ht="18" x14ac:dyDescent="0.35">
      <c r="A8" s="9" t="s">
        <v>55</v>
      </c>
      <c r="B8" s="160">
        <v>0.09</v>
      </c>
      <c r="C8" s="160">
        <v>0.04</v>
      </c>
      <c r="D8" s="160">
        <v>1.4999999999999999E-2</v>
      </c>
      <c r="E8" s="160">
        <v>7.0000000000000007E-2</v>
      </c>
      <c r="F8" s="160">
        <v>3.5000000000000003E-2</v>
      </c>
      <c r="G8" s="160">
        <v>1.2999999999999999E-2</v>
      </c>
      <c r="H8" s="160">
        <v>4.4999999999999998E-2</v>
      </c>
      <c r="I8" s="160">
        <v>2.5000000000000001E-2</v>
      </c>
      <c r="J8" s="160">
        <v>0.01</v>
      </c>
      <c r="K8" s="160">
        <v>3.5000000000000003E-2</v>
      </c>
      <c r="L8" s="160">
        <v>0.02</v>
      </c>
      <c r="M8" s="160">
        <v>7.0000000000000001E-3</v>
      </c>
    </row>
    <row r="9" spans="1:13" x14ac:dyDescent="0.25">
      <c r="A9" s="9"/>
      <c r="B9" s="9"/>
      <c r="C9" s="9"/>
      <c r="D9" s="9"/>
      <c r="E9" s="9"/>
      <c r="F9" s="9"/>
      <c r="G9" s="9"/>
      <c r="H9" s="9"/>
      <c r="I9" s="9"/>
      <c r="J9" s="9"/>
      <c r="K9" s="9"/>
      <c r="L9" s="9"/>
      <c r="M9" s="9"/>
    </row>
    <row r="10" spans="1:13" x14ac:dyDescent="0.25">
      <c r="A10" s="9"/>
      <c r="B10" s="1371" t="s">
        <v>57</v>
      </c>
      <c r="C10" s="1371"/>
      <c r="D10" s="1371"/>
      <c r="E10" s="1371"/>
      <c r="F10" s="1371"/>
      <c r="G10" s="1371"/>
      <c r="H10" s="1371"/>
      <c r="I10" s="1371"/>
      <c r="J10" s="1371"/>
      <c r="K10" s="1371"/>
      <c r="L10" s="1371"/>
      <c r="M10" s="1371"/>
    </row>
    <row r="11" spans="1:13" ht="18" x14ac:dyDescent="0.35">
      <c r="A11" s="9" t="s">
        <v>55</v>
      </c>
      <c r="B11" s="160">
        <v>0.09</v>
      </c>
      <c r="C11" s="160">
        <v>4.4999999999999998E-2</v>
      </c>
      <c r="D11" s="160">
        <v>0.02</v>
      </c>
      <c r="E11" s="160">
        <v>7.0000000000000007E-2</v>
      </c>
      <c r="F11" s="160">
        <v>0.04</v>
      </c>
      <c r="G11" s="160">
        <v>1.7000000000000001E-2</v>
      </c>
      <c r="H11" s="160">
        <v>0.05</v>
      </c>
      <c r="I11" s="160">
        <v>0.03</v>
      </c>
      <c r="J11" s="160">
        <v>1.2999999999999999E-2</v>
      </c>
      <c r="K11" s="160">
        <v>0.04</v>
      </c>
      <c r="L11" s="160">
        <v>2.5000000000000001E-2</v>
      </c>
      <c r="M11" s="160">
        <v>0.01</v>
      </c>
    </row>
    <row r="14" spans="1:13" x14ac:dyDescent="0.25">
      <c r="B14" s="1371" t="s">
        <v>46</v>
      </c>
      <c r="C14" s="1371"/>
      <c r="D14" s="1371"/>
      <c r="E14" s="1371"/>
      <c r="F14" s="1371"/>
      <c r="G14" s="1371"/>
      <c r="H14" s="1371"/>
      <c r="I14" s="1371"/>
      <c r="J14" s="1371"/>
      <c r="K14" s="1371"/>
      <c r="L14" s="1371"/>
      <c r="M14" s="1371"/>
    </row>
    <row r="15" spans="1:13" x14ac:dyDescent="0.25">
      <c r="B15" s="1371" t="s">
        <v>47</v>
      </c>
      <c r="C15" s="1371"/>
      <c r="D15" s="1371"/>
      <c r="E15" s="1371" t="s">
        <v>49</v>
      </c>
      <c r="F15" s="1371"/>
      <c r="G15" s="1371"/>
      <c r="H15" s="1371" t="s">
        <v>51</v>
      </c>
      <c r="I15" s="1371"/>
      <c r="J15" s="1371"/>
      <c r="K15" s="1371" t="s">
        <v>53</v>
      </c>
      <c r="L15" s="1371"/>
      <c r="M15" s="1371"/>
    </row>
    <row r="16" spans="1:13" x14ac:dyDescent="0.25">
      <c r="B16" s="1371" t="s">
        <v>48</v>
      </c>
      <c r="C16" s="1371"/>
      <c r="D16" s="1371"/>
      <c r="E16" s="1371" t="s">
        <v>50</v>
      </c>
      <c r="F16" s="1371"/>
      <c r="G16" s="1371"/>
      <c r="H16" s="1371" t="s">
        <v>52</v>
      </c>
      <c r="I16" s="1371"/>
      <c r="J16" s="1371"/>
      <c r="K16" s="1371"/>
      <c r="L16" s="1371"/>
      <c r="M16" s="1371"/>
    </row>
    <row r="17" spans="1:13" x14ac:dyDescent="0.25">
      <c r="A17" s="9" t="s">
        <v>54</v>
      </c>
      <c r="B17" s="1786" t="s">
        <v>15</v>
      </c>
      <c r="C17" s="1787"/>
      <c r="D17" s="1582"/>
      <c r="E17" s="1786" t="s">
        <v>15</v>
      </c>
      <c r="F17" s="1787"/>
      <c r="G17" s="1582"/>
      <c r="H17" s="1786" t="s">
        <v>15</v>
      </c>
      <c r="I17" s="1787"/>
      <c r="J17" s="1582"/>
      <c r="K17" s="1786" t="s">
        <v>15</v>
      </c>
      <c r="L17" s="1787"/>
      <c r="M17" s="1582"/>
    </row>
    <row r="18" spans="1:13" x14ac:dyDescent="0.25">
      <c r="A18" s="9"/>
      <c r="B18" s="1371" t="s">
        <v>56</v>
      </c>
      <c r="C18" s="1371"/>
      <c r="D18" s="1371"/>
      <c r="E18" s="1371"/>
      <c r="F18" s="1371"/>
      <c r="G18" s="1371"/>
      <c r="H18" s="1371"/>
      <c r="I18" s="1371"/>
      <c r="J18" s="1371"/>
      <c r="K18" s="1371"/>
      <c r="L18" s="1371"/>
      <c r="M18" s="1371"/>
    </row>
    <row r="19" spans="1:13" ht="18" x14ac:dyDescent="0.35">
      <c r="A19" s="9" t="s">
        <v>58</v>
      </c>
      <c r="B19" s="1792">
        <v>0.01</v>
      </c>
      <c r="C19" s="1793"/>
      <c r="D19" s="1794"/>
      <c r="E19" s="1792">
        <v>8.9999999999999993E-3</v>
      </c>
      <c r="F19" s="1793">
        <v>3.5000000000000003E-2</v>
      </c>
      <c r="G19" s="1794">
        <v>1.7000000000000001E-2</v>
      </c>
      <c r="H19" s="1792">
        <v>7.0000000000000001E-3</v>
      </c>
      <c r="I19" s="1793">
        <v>2.5000000000000001E-2</v>
      </c>
      <c r="J19" s="1794">
        <v>1.2999999999999999E-2</v>
      </c>
      <c r="K19" s="1792">
        <v>5.0000000000000001E-3</v>
      </c>
      <c r="L19" s="1793">
        <v>0.02</v>
      </c>
      <c r="M19" s="1794">
        <v>0.01</v>
      </c>
    </row>
    <row r="20" spans="1:13" ht="18" x14ac:dyDescent="0.35">
      <c r="A20" s="9" t="s">
        <v>59</v>
      </c>
      <c r="B20" s="1792">
        <v>0.01</v>
      </c>
      <c r="C20" s="1793">
        <v>0.04</v>
      </c>
      <c r="D20" s="1794">
        <v>1.4999999999999999E-2</v>
      </c>
      <c r="E20" s="1792">
        <v>8.0000000000000002E-3</v>
      </c>
      <c r="F20" s="1793">
        <v>3.5000000000000003E-2</v>
      </c>
      <c r="G20" s="1794">
        <v>1.2999999999999999E-2</v>
      </c>
      <c r="H20" s="1792">
        <v>6.0000000000000001E-3</v>
      </c>
      <c r="I20" s="1793">
        <v>2.5000000000000001E-2</v>
      </c>
      <c r="J20" s="1794">
        <v>0.01</v>
      </c>
      <c r="K20" s="1792">
        <v>4.0000000000000001E-3</v>
      </c>
      <c r="L20" s="1793">
        <v>0.02</v>
      </c>
      <c r="M20" s="1794">
        <v>7.0000000000000001E-3</v>
      </c>
    </row>
    <row r="21" spans="1:13" x14ac:dyDescent="0.25">
      <c r="A21" s="9"/>
      <c r="B21" s="9"/>
      <c r="C21" s="9"/>
      <c r="D21" s="9"/>
      <c r="E21" s="9"/>
      <c r="F21" s="9"/>
      <c r="G21" s="9"/>
      <c r="H21" s="9"/>
      <c r="I21" s="9"/>
      <c r="J21" s="9"/>
      <c r="K21" s="9"/>
      <c r="L21" s="9"/>
      <c r="M21" s="9"/>
    </row>
    <row r="22" spans="1:13" x14ac:dyDescent="0.25">
      <c r="A22" s="9"/>
      <c r="B22" s="1371" t="s">
        <v>57</v>
      </c>
      <c r="C22" s="1371"/>
      <c r="D22" s="1371"/>
      <c r="E22" s="1371"/>
      <c r="F22" s="1371"/>
      <c r="G22" s="1371"/>
      <c r="H22" s="1371"/>
      <c r="I22" s="1371"/>
      <c r="J22" s="1371"/>
      <c r="K22" s="1371"/>
      <c r="L22" s="1371"/>
      <c r="M22" s="1371"/>
    </row>
    <row r="23" spans="1:13" ht="18" x14ac:dyDescent="0.35">
      <c r="A23" s="9" t="s">
        <v>59</v>
      </c>
      <c r="B23" s="1792">
        <v>0.01</v>
      </c>
      <c r="C23" s="1793">
        <v>4.4999999999999998E-2</v>
      </c>
      <c r="D23" s="1794">
        <v>0.02</v>
      </c>
      <c r="E23" s="1792">
        <v>8.9999999999999993E-3</v>
      </c>
      <c r="F23" s="1793">
        <v>0.04</v>
      </c>
      <c r="G23" s="1794">
        <v>1.7000000000000001E-2</v>
      </c>
      <c r="H23" s="1792">
        <v>7.0000000000000001E-3</v>
      </c>
      <c r="I23" s="1793">
        <v>0.03</v>
      </c>
      <c r="J23" s="1794">
        <v>1.2999999999999999E-2</v>
      </c>
      <c r="K23" s="1792">
        <v>5.0000000000000001E-3</v>
      </c>
      <c r="L23" s="1793">
        <v>2.5000000000000001E-2</v>
      </c>
      <c r="M23" s="1794">
        <v>0.01</v>
      </c>
    </row>
  </sheetData>
  <sheetProtection algorithmName="SHA-512" hashValue="Pkeelvqcd8dgB2YzY9/9PM9dQr89bmyKfvPukVWQflRG/hX4W0nhhhufvMw1oyffxvl80O9gEQy2TKEn3D47Bg==" saltValue="AT/GG6rvCL2gC7sHERCLaA==" spinCount="100000" sheet="1" objects="1" scenarios="1"/>
  <mergeCells count="38">
    <mergeCell ref="B2:M2"/>
    <mergeCell ref="B14:M14"/>
    <mergeCell ref="B15:D15"/>
    <mergeCell ref="E15:G15"/>
    <mergeCell ref="H15:J15"/>
    <mergeCell ref="K15:M15"/>
    <mergeCell ref="B6:M6"/>
    <mergeCell ref="B10:M10"/>
    <mergeCell ref="B3:D3"/>
    <mergeCell ref="B4:D4"/>
    <mergeCell ref="E3:G3"/>
    <mergeCell ref="E4:G4"/>
    <mergeCell ref="H3:J3"/>
    <mergeCell ref="H4:J4"/>
    <mergeCell ref="K3:M3"/>
    <mergeCell ref="K4:M4"/>
    <mergeCell ref="B16:D16"/>
    <mergeCell ref="E16:G16"/>
    <mergeCell ref="H16:J16"/>
    <mergeCell ref="K16:M16"/>
    <mergeCell ref="K17:M17"/>
    <mergeCell ref="B17:D17"/>
    <mergeCell ref="E17:G17"/>
    <mergeCell ref="H17:J17"/>
    <mergeCell ref="B18:M18"/>
    <mergeCell ref="H19:J19"/>
    <mergeCell ref="K19:M19"/>
    <mergeCell ref="B23:D23"/>
    <mergeCell ref="E23:G23"/>
    <mergeCell ref="H23:J23"/>
    <mergeCell ref="K23:M23"/>
    <mergeCell ref="B22:M22"/>
    <mergeCell ref="K20:M20"/>
    <mergeCell ref="B19:D19"/>
    <mergeCell ref="B20:D20"/>
    <mergeCell ref="E20:G20"/>
    <mergeCell ref="H20:J20"/>
    <mergeCell ref="E19:G19"/>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4"/>
  <dimension ref="A1:K8"/>
  <sheetViews>
    <sheetView workbookViewId="0">
      <selection activeCell="N31" sqref="N31"/>
    </sheetView>
  </sheetViews>
  <sheetFormatPr defaultRowHeight="15" x14ac:dyDescent="0.25"/>
  <cols>
    <col min="1" max="1" width="10.5703125" style="1" bestFit="1" customWidth="1"/>
    <col min="2" max="2" width="19.140625" style="1" bestFit="1" customWidth="1"/>
    <col min="3" max="3" width="17.42578125" style="1" bestFit="1" customWidth="1"/>
    <col min="4" max="4" width="19.140625" style="1" bestFit="1" customWidth="1"/>
    <col min="5" max="5" width="17.42578125" style="1" bestFit="1" customWidth="1"/>
    <col min="6" max="6" width="19.140625" style="1" bestFit="1" customWidth="1"/>
    <col min="7" max="7" width="17.42578125" style="1" bestFit="1" customWidth="1"/>
    <col min="8" max="8" width="19.140625" style="1" bestFit="1" customWidth="1"/>
    <col min="9" max="9" width="17.42578125" style="1" bestFit="1" customWidth="1"/>
    <col min="10" max="10" width="19.140625" style="1" bestFit="1" customWidth="1"/>
    <col min="11" max="11" width="17.42578125" style="1" bestFit="1" customWidth="1"/>
    <col min="12" max="16384" width="9.140625" style="1"/>
  </cols>
  <sheetData>
    <row r="1" spans="1:11" x14ac:dyDescent="0.25">
      <c r="A1" s="1" t="s">
        <v>16</v>
      </c>
      <c r="B1" s="1371">
        <v>1</v>
      </c>
      <c r="C1" s="1371"/>
      <c r="D1" s="1371">
        <v>0.5</v>
      </c>
      <c r="E1" s="1371"/>
      <c r="F1" s="1371" t="s">
        <v>14</v>
      </c>
      <c r="G1" s="1371"/>
      <c r="H1" s="1371">
        <v>0.2</v>
      </c>
      <c r="I1" s="1371"/>
      <c r="J1" s="1371" t="s">
        <v>15</v>
      </c>
      <c r="K1" s="1371"/>
    </row>
    <row r="2" spans="1:11" x14ac:dyDescent="0.25">
      <c r="B2" s="9" t="s">
        <v>11</v>
      </c>
      <c r="C2" s="9" t="s">
        <v>12</v>
      </c>
      <c r="D2" s="9" t="s">
        <v>11</v>
      </c>
      <c r="E2" s="9" t="s">
        <v>12</v>
      </c>
      <c r="F2" s="9" t="s">
        <v>11</v>
      </c>
      <c r="G2" s="9" t="s">
        <v>12</v>
      </c>
      <c r="H2" s="9" t="s">
        <v>11</v>
      </c>
      <c r="I2" s="9" t="s">
        <v>12</v>
      </c>
      <c r="J2" s="9" t="s">
        <v>11</v>
      </c>
      <c r="K2" s="9" t="s">
        <v>12</v>
      </c>
    </row>
    <row r="3" spans="1:11" x14ac:dyDescent="0.25">
      <c r="A3" s="9" t="s">
        <v>1</v>
      </c>
      <c r="B3" s="9" t="s">
        <v>1</v>
      </c>
      <c r="C3" s="9" t="s">
        <v>2</v>
      </c>
      <c r="D3" s="9" t="s">
        <v>1</v>
      </c>
      <c r="E3" s="9" t="s">
        <v>2</v>
      </c>
      <c r="F3" s="9" t="s">
        <v>1</v>
      </c>
      <c r="G3" s="9" t="s">
        <v>2</v>
      </c>
      <c r="H3" s="9" t="s">
        <v>1</v>
      </c>
      <c r="I3" s="9" t="s">
        <v>2</v>
      </c>
      <c r="J3" s="9" t="s">
        <v>1</v>
      </c>
      <c r="K3" s="9" t="s">
        <v>2</v>
      </c>
    </row>
    <row r="4" spans="1:11" x14ac:dyDescent="0.25">
      <c r="A4" s="177">
        <v>0.01</v>
      </c>
      <c r="B4" s="9"/>
      <c r="C4" s="9"/>
      <c r="D4" s="9"/>
      <c r="E4" s="9"/>
      <c r="F4" s="9">
        <v>1.5</v>
      </c>
      <c r="G4" s="9">
        <v>2.7</v>
      </c>
      <c r="H4" s="9"/>
      <c r="I4" s="9"/>
      <c r="J4" s="9">
        <v>0.75</v>
      </c>
      <c r="K4" s="9">
        <v>0.9</v>
      </c>
    </row>
    <row r="5" spans="1:11" x14ac:dyDescent="0.25">
      <c r="A5" s="177">
        <v>0.05</v>
      </c>
      <c r="B5" s="9">
        <v>1.5</v>
      </c>
      <c r="C5" s="9">
        <v>2.7</v>
      </c>
      <c r="D5" s="9">
        <v>1.5</v>
      </c>
      <c r="E5" s="9">
        <v>2.7</v>
      </c>
      <c r="F5" s="9">
        <v>0.75</v>
      </c>
      <c r="G5" s="9">
        <v>1.35</v>
      </c>
      <c r="H5" s="9">
        <v>0.75</v>
      </c>
      <c r="I5" s="9">
        <v>0.9</v>
      </c>
      <c r="J5" s="9">
        <v>0.35</v>
      </c>
      <c r="K5" s="9">
        <v>0.45</v>
      </c>
    </row>
    <row r="6" spans="1:11" x14ac:dyDescent="0.25">
      <c r="A6" s="177">
        <v>0.2</v>
      </c>
      <c r="B6" s="9">
        <v>0.75</v>
      </c>
      <c r="C6" s="9">
        <v>1.35</v>
      </c>
      <c r="D6" s="9">
        <v>0.75</v>
      </c>
      <c r="E6" s="9">
        <v>1.35</v>
      </c>
      <c r="F6" s="9">
        <v>0.5</v>
      </c>
      <c r="G6" s="9">
        <v>0.9</v>
      </c>
      <c r="H6" s="9">
        <v>0.35</v>
      </c>
      <c r="I6" s="9">
        <v>0.45</v>
      </c>
      <c r="J6" s="9">
        <v>0.2</v>
      </c>
      <c r="K6" s="9">
        <v>0.3</v>
      </c>
    </row>
    <row r="7" spans="1:11" x14ac:dyDescent="0.25">
      <c r="A7" s="177">
        <v>1</v>
      </c>
      <c r="B7" s="9">
        <v>0.5</v>
      </c>
      <c r="C7" s="9">
        <v>0.9</v>
      </c>
      <c r="D7" s="9">
        <v>0.5</v>
      </c>
      <c r="E7" s="9">
        <v>0.9</v>
      </c>
      <c r="F7" s="9">
        <v>0.5</v>
      </c>
      <c r="G7" s="9">
        <v>0.9</v>
      </c>
      <c r="H7" s="9">
        <v>0.2</v>
      </c>
      <c r="I7" s="9">
        <v>0.3</v>
      </c>
      <c r="J7" s="9">
        <v>0.2</v>
      </c>
      <c r="K7" s="9">
        <v>0.3</v>
      </c>
    </row>
    <row r="8" spans="1:11" x14ac:dyDescent="0.25">
      <c r="A8" s="177">
        <v>1.2</v>
      </c>
      <c r="B8" s="9">
        <v>0.5</v>
      </c>
      <c r="C8" s="9">
        <v>0.9</v>
      </c>
      <c r="D8" s="9">
        <v>0.5</v>
      </c>
      <c r="E8" s="9">
        <v>0.9</v>
      </c>
      <c r="F8" s="9">
        <v>0.5</v>
      </c>
      <c r="G8" s="9">
        <v>0.9</v>
      </c>
      <c r="H8" s="9">
        <v>0.2</v>
      </c>
      <c r="I8" s="9">
        <v>0.3</v>
      </c>
      <c r="J8" s="9">
        <v>0.2</v>
      </c>
      <c r="K8" s="9">
        <v>0.3</v>
      </c>
    </row>
  </sheetData>
  <sheetProtection algorithmName="SHA-512" hashValue="NtV8gMMKgNI6l22g+MjIxeflg0HMq1+NiG2/Cx47UX8BlGEEAOt9igWTlJOlyhsYyy1bF67kYmGlYht/vLtuoQ==" saltValue="CtTp0VlJYTgRpq5l18W5EQ==" spinCount="100000" sheet="1" objects="1" scenarios="1"/>
  <mergeCells count="5">
    <mergeCell ref="D1:E1"/>
    <mergeCell ref="F1:G1"/>
    <mergeCell ref="H1:I1"/>
    <mergeCell ref="J1:K1"/>
    <mergeCell ref="B1:C1"/>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5">
    <pageSetUpPr fitToPage="1"/>
  </sheetPr>
  <dimension ref="A1:K6"/>
  <sheetViews>
    <sheetView workbookViewId="0">
      <selection activeCell="N30" sqref="N30"/>
    </sheetView>
  </sheetViews>
  <sheetFormatPr defaultRowHeight="15" x14ac:dyDescent="0.25"/>
  <cols>
    <col min="1" max="1" width="10.5703125" style="1" bestFit="1" customWidth="1"/>
    <col min="2" max="2" width="19.140625" style="1" bestFit="1" customWidth="1"/>
    <col min="3" max="3" width="17.42578125" style="1" bestFit="1" customWidth="1"/>
    <col min="4" max="4" width="19.140625" style="1" bestFit="1" customWidth="1"/>
    <col min="5" max="5" width="17.42578125" style="1" bestFit="1" customWidth="1"/>
    <col min="6" max="6" width="19.140625" style="1" bestFit="1" customWidth="1"/>
    <col min="7" max="7" width="17.42578125" style="1" bestFit="1" customWidth="1"/>
    <col min="8" max="8" width="19.140625" style="1" bestFit="1" customWidth="1"/>
    <col min="9" max="9" width="17.42578125" style="1" bestFit="1" customWidth="1"/>
    <col min="10" max="10" width="19.140625" style="1" bestFit="1" customWidth="1"/>
    <col min="11" max="11" width="17.42578125" style="1" bestFit="1" customWidth="1"/>
    <col min="12" max="16384" width="9.140625" style="1"/>
  </cols>
  <sheetData>
    <row r="1" spans="1:11" x14ac:dyDescent="0.25">
      <c r="A1" s="1" t="s">
        <v>17</v>
      </c>
      <c r="B1" s="1371">
        <v>3</v>
      </c>
      <c r="C1" s="1371"/>
      <c r="D1" s="1371">
        <v>1</v>
      </c>
      <c r="E1" s="1371"/>
      <c r="F1" s="1371">
        <v>0.5</v>
      </c>
      <c r="G1" s="1371"/>
      <c r="H1" s="1371">
        <v>0.2</v>
      </c>
      <c r="I1" s="1371"/>
      <c r="J1" s="1371">
        <v>0.1</v>
      </c>
      <c r="K1" s="1371"/>
    </row>
    <row r="2" spans="1:11" x14ac:dyDescent="0.25">
      <c r="B2" s="9" t="s">
        <v>11</v>
      </c>
      <c r="C2" s="9" t="s">
        <v>12</v>
      </c>
      <c r="D2" s="9" t="s">
        <v>11</v>
      </c>
      <c r="E2" s="9" t="s">
        <v>12</v>
      </c>
      <c r="F2" s="9" t="s">
        <v>11</v>
      </c>
      <c r="G2" s="9" t="s">
        <v>12</v>
      </c>
      <c r="H2" s="9" t="s">
        <v>11</v>
      </c>
      <c r="I2" s="9" t="s">
        <v>12</v>
      </c>
      <c r="J2" s="9" t="s">
        <v>11</v>
      </c>
      <c r="K2" s="9" t="s">
        <v>12</v>
      </c>
    </row>
    <row r="3" spans="1:11" x14ac:dyDescent="0.25">
      <c r="A3" s="9" t="s">
        <v>1</v>
      </c>
      <c r="B3" s="9" t="s">
        <v>1</v>
      </c>
      <c r="C3" s="9" t="s">
        <v>2</v>
      </c>
      <c r="D3" s="9" t="s">
        <v>1</v>
      </c>
      <c r="E3" s="9" t="s">
        <v>2</v>
      </c>
      <c r="F3" s="9" t="s">
        <v>1</v>
      </c>
      <c r="G3" s="9" t="s">
        <v>2</v>
      </c>
      <c r="H3" s="9" t="s">
        <v>1</v>
      </c>
      <c r="I3" s="9" t="s">
        <v>2</v>
      </c>
      <c r="J3" s="9" t="s">
        <v>1</v>
      </c>
      <c r="K3" s="9" t="s">
        <v>2</v>
      </c>
    </row>
    <row r="4" spans="1:11" x14ac:dyDescent="0.25">
      <c r="A4" s="177">
        <v>0.8</v>
      </c>
      <c r="B4" s="9">
        <v>3</v>
      </c>
      <c r="C4" s="9" t="s">
        <v>18</v>
      </c>
      <c r="D4" s="9">
        <v>1</v>
      </c>
      <c r="E4" s="9">
        <v>1.2</v>
      </c>
      <c r="F4" s="9">
        <v>0.5</v>
      </c>
      <c r="G4" s="9">
        <v>0.6</v>
      </c>
      <c r="H4" s="9">
        <v>0.2</v>
      </c>
      <c r="I4" s="9">
        <v>0.3</v>
      </c>
      <c r="J4" s="9">
        <v>0.1</v>
      </c>
      <c r="K4" s="9">
        <v>0.15</v>
      </c>
    </row>
    <row r="5" spans="1:11" x14ac:dyDescent="0.25">
      <c r="A5" s="177">
        <v>1</v>
      </c>
      <c r="B5" s="9">
        <v>3</v>
      </c>
      <c r="C5" s="9" t="s">
        <v>18</v>
      </c>
      <c r="D5" s="9">
        <v>1</v>
      </c>
      <c r="E5" s="9">
        <v>1.2</v>
      </c>
      <c r="F5" s="9">
        <v>0.5</v>
      </c>
      <c r="G5" s="9">
        <v>0.6</v>
      </c>
      <c r="H5" s="9">
        <v>0.2</v>
      </c>
      <c r="I5" s="9">
        <v>0.3</v>
      </c>
      <c r="J5" s="9">
        <v>0.1</v>
      </c>
      <c r="K5" s="9">
        <v>0.15</v>
      </c>
    </row>
    <row r="6" spans="1:11" x14ac:dyDescent="0.25">
      <c r="A6" s="177">
        <v>1.2</v>
      </c>
      <c r="B6" s="9">
        <v>3</v>
      </c>
      <c r="C6" s="9" t="s">
        <v>18</v>
      </c>
      <c r="D6" s="9">
        <v>1</v>
      </c>
      <c r="E6" s="9">
        <v>1.2</v>
      </c>
      <c r="F6" s="9">
        <v>0.5</v>
      </c>
      <c r="G6" s="9">
        <v>0.6</v>
      </c>
      <c r="H6" s="9">
        <v>0.2</v>
      </c>
      <c r="I6" s="9">
        <v>0.3</v>
      </c>
      <c r="J6" s="9">
        <v>0.1</v>
      </c>
      <c r="K6" s="9">
        <v>0.15</v>
      </c>
    </row>
  </sheetData>
  <sheetProtection algorithmName="SHA-512" hashValue="2TOp4+17Vib00pjQUud9MM8U5ASCgk4el45reQgRYhAThFLPoxGCNV+SQZGxFcW3x4Mf1jiVvPFN1OWRDbwj7w==" saltValue="r/cke4z0xawsTjp/ZaTt9g==" spinCount="100000" sheet="1" objects="1" scenarios="1"/>
  <mergeCells count="5">
    <mergeCell ref="B1:C1"/>
    <mergeCell ref="D1:E1"/>
    <mergeCell ref="F1:G1"/>
    <mergeCell ref="H1:I1"/>
    <mergeCell ref="J1:K1"/>
  </mergeCells>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7"/>
  <sheetViews>
    <sheetView view="pageBreakPreview" zoomScaleNormal="100" zoomScaleSheetLayoutView="100" workbookViewId="0">
      <selection activeCell="O20" sqref="O20"/>
    </sheetView>
  </sheetViews>
  <sheetFormatPr defaultRowHeight="15" x14ac:dyDescent="0.25"/>
  <cols>
    <col min="1" max="1" width="9.140625" style="277"/>
    <col min="2" max="4" width="11.28515625" style="277" customWidth="1"/>
    <col min="5" max="5" width="16.5703125" style="277" customWidth="1"/>
    <col min="6" max="7" width="11.28515625" style="277" customWidth="1"/>
    <col min="8" max="8" width="16.42578125" style="277" customWidth="1"/>
    <col min="9" max="9" width="11.28515625" style="277" customWidth="1"/>
    <col min="10" max="10" width="24.140625" style="277" customWidth="1"/>
    <col min="11" max="11" width="9.140625" style="277"/>
    <col min="12" max="12" width="33.28515625" style="277" customWidth="1"/>
    <col min="13" max="16384" width="9.140625" style="277"/>
  </cols>
  <sheetData>
    <row r="1" spans="1:12" ht="20.25" customHeight="1" x14ac:dyDescent="0.25">
      <c r="A1" s="1306" t="s">
        <v>241</v>
      </c>
      <c r="B1" s="1307"/>
      <c r="C1" s="1308"/>
      <c r="D1" s="1295" t="s">
        <v>748</v>
      </c>
      <c r="E1" s="1295"/>
      <c r="F1" s="1295"/>
      <c r="G1" s="1297" t="s">
        <v>242</v>
      </c>
      <c r="H1" s="1297"/>
      <c r="I1" s="507" t="s">
        <v>243</v>
      </c>
      <c r="J1" s="1297" t="s">
        <v>244</v>
      </c>
      <c r="K1" s="1297"/>
      <c r="L1" s="508" t="s">
        <v>245</v>
      </c>
    </row>
    <row r="2" spans="1:12" ht="26.25" customHeight="1" thickBot="1" x14ac:dyDescent="0.3">
      <c r="A2" s="1309"/>
      <c r="B2" s="1310"/>
      <c r="C2" s="1311"/>
      <c r="D2" s="1296"/>
      <c r="E2" s="1296"/>
      <c r="F2" s="1296"/>
      <c r="G2" s="1300" t="s">
        <v>246</v>
      </c>
      <c r="H2" s="1301"/>
      <c r="I2" s="509">
        <v>8</v>
      </c>
      <c r="J2" s="1302" t="s">
        <v>739</v>
      </c>
      <c r="K2" s="1302"/>
      <c r="L2" s="510">
        <v>43605</v>
      </c>
    </row>
    <row r="3" spans="1:12" ht="26.25" x14ac:dyDescent="0.4">
      <c r="A3" s="1314" t="s">
        <v>1046</v>
      </c>
      <c r="B3" s="1315"/>
      <c r="C3" s="1315"/>
      <c r="D3" s="1315"/>
      <c r="E3" s="1315"/>
      <c r="F3" s="1315"/>
      <c r="G3" s="1315"/>
      <c r="H3" s="1315"/>
      <c r="I3" s="1315"/>
      <c r="J3" s="1315"/>
      <c r="K3" s="1315"/>
      <c r="L3" s="1316"/>
    </row>
    <row r="4" spans="1:12" s="476" customFormat="1" ht="19.5" customHeight="1" x14ac:dyDescent="0.4">
      <c r="A4" s="544"/>
      <c r="B4" s="545"/>
      <c r="C4" s="545"/>
      <c r="D4" s="545"/>
      <c r="E4" s="545"/>
      <c r="F4" s="545"/>
      <c r="G4" s="545"/>
      <c r="H4" s="545"/>
      <c r="I4" s="545"/>
      <c r="J4" s="545"/>
      <c r="K4" s="545"/>
      <c r="L4" s="545"/>
    </row>
    <row r="5" spans="1:12" s="476" customFormat="1" ht="19.5" customHeight="1" x14ac:dyDescent="0.4">
      <c r="A5" s="544"/>
      <c r="B5" s="1298" t="s">
        <v>1216</v>
      </c>
      <c r="C5" s="1298"/>
      <c r="D5" s="1298"/>
      <c r="E5" s="1298"/>
      <c r="F5" s="1299" t="str">
        <f>IF(AND(J43="",J44="",J45="",J46="",J47="",J48="",J49="",J50="",J51="",J52="",J53="",J54="",J55="",J56="",J57="",J58="",J59="",J60="",J61="",J62="",J63="",J64="",J65="",J66="",J67="",J68="",J69="",J70="",J71="",J72="",J73="",J74="",J75="",J76="",J77="",J78="",J79="",J80="",J81="",J82="",J83=""),IF(COUNTBLANK(J9:J17)=9,"NESSUN ERRORE TROVATO:Firmare rapporto ispezione","NESSUN ERRORE TROVATO: Firmato correttamente da OPEE"),IF(AND(J43="NESSUN CONTROLLO: Rapporto di ispezione cartaceo",J44="NESSUN CONTROLLO: Rapporto di ispezione cartaceo", J45="NESSUN CONTROLLO: Rapporto di ispezione cartaceo",J46="NESSUN CONTROLLO: Rapporto di ispezione cartaceo",J47="NESSUN CONTROLLO: Rapporto di ispezione cartaceo",J48="NESSUN CONTROLLO: Rapporto di ispezione cartaceo",J49="NESSUN CONTROLLO: Rapporto di ispezione cartaceo",J50="NESSUN CONTROLLO: Rapporto di ispezione cartaceo",J51="NESSUN CONTROLLO: Rapporto di ispezione cartaceo",J52="NESSUN CONTROLLO: Rapporto di ispezione cartaceo",J53="NESSUN CONTROLLO: Rapporto di ispezione cartaceo",J54="NESSUN CONTROLLO: Rapporto di ispezione cartaceo",J55="NESSUN CONTROLLO: Rapporto di ispezione cartaceo",J56="NESSUN CONTROLLO: Rapporto di ispezione cartaceo",J57="NESSUN CONTROLLO: Rapporto di ispezione cartaceo",J58="NESSUN CONTROLLO: Rapporto di ispezione cartaceo",J59="NESSUN CONTROLLO: Rapporto di ispezione cartaceo",J60="NESSUN CONTROLLO: Rapporto di ispezione cartaceo",J61="NESSUN CONTROLLO: Rapporto di ispezione cartaceo",J62="NESSUN CONTROLLO: Rapporto di ispezione cartaceo",J63="NESSUN CONTROLLO: Rapporto di ispezione cartaceo",J64="NESSUN CONTROLLO: Rapporto di ispezione cartaceo",J65="NESSUN CONTROLLO: Rapporto di ispezione cartaceo",J66="NESSUN CONTROLLO: Rapporto di ispezione cartaceo",J67="NESSUN CONTROLLO: Rapporto di ispezione cartaceo",J68="NESSUN CONTROLLO: Rapporto di ispezione cartaceo",J69="NESSUN CONTROLLO: Rapporto di ispezione cartaceo",J70="NESSUN CONTROLLO: Rapporto di ispezione cartaceo",J71="NESSUN CONTROLLO: Rapporto di ispezione cartaceo",J72="NESSUN CONTROLLO: Rapporto di ispezione cartaceo",J73="NESSUN CONTROLLO: Rapporto di ispezione cartaceo",J74="NESSUN CONTROLLO: Rapporto di ispezione cartaceo",J75="NESSUN CONTROLLO: Rapporto di ispezione cartaceo",J76="NESSUN CONTROLLO: Rapporto di ispezione cartaceo",J77="NESSUN CONTROLLO: Rapporto di ispezione cartaceo",J78="NESSUN CONTROLLO: Rapporto di ispezione cartaceo",J79="NESSUN CONTROLLO: Rapporto di ispezione cartaceo",J80="NESSUN CONTROLLO: Rapporto di ispezione cartaceo",J81="NESSUN CONTROLLO: Rapporto di ispezione cartaceo",J82="NESSUN CONTROLLO: Rapporto di ispezione cartaceo",J83="NESSUN CONTROLLO: Rapporto di ispezione cartaceo"),"NESSUN CONTROLLO: Rapporto di ispezione cartaceo","PRESENZA ERRORI OPEE: Non firmare rapporto ispezione"))</f>
        <v>PRESENZA ERRORI OPEE: Non firmare rapporto ispezione</v>
      </c>
      <c r="G5" s="1299"/>
      <c r="H5" s="1299"/>
      <c r="I5" s="545"/>
      <c r="J5" s="545"/>
      <c r="K5" s="545"/>
      <c r="L5" s="545"/>
    </row>
    <row r="6" spans="1:12" s="476" customFormat="1" ht="19.5" customHeight="1" x14ac:dyDescent="0.4">
      <c r="A6" s="544"/>
      <c r="B6" s="1298"/>
      <c r="C6" s="1298"/>
      <c r="D6" s="1298"/>
      <c r="E6" s="1298"/>
      <c r="F6" s="1299"/>
      <c r="G6" s="1299"/>
      <c r="H6" s="1299"/>
      <c r="I6" s="545"/>
      <c r="J6" s="545"/>
      <c r="K6" s="545"/>
      <c r="L6" s="545"/>
    </row>
    <row r="7" spans="1:12" ht="33.75" customHeight="1" x14ac:dyDescent="0.25">
      <c r="A7" s="477"/>
      <c r="B7" s="1318" t="s">
        <v>1219</v>
      </c>
      <c r="C7" s="1319"/>
      <c r="D7" s="1319"/>
      <c r="E7" s="1320"/>
      <c r="F7" s="1321" t="str">
        <f>IF('DATI INGRESSO'!D5="X",IF(J19&lt;&gt;"",IF(AND(J85="",J86=""),IF(J23="","NESSUN ERRORE TROVATO:Firmare rapporto ispezione","NESSUN ERRORE TROVATO: Firmato correttamente da OPE"),IF(AND(J85="NESSUN CONTROLLO: Rapporto di ispezione cartaceo",J86="NESSUN CONTROLLO: Rapporto di ispezione cartaceo"),"NESSUN CONTROLLO: Rapporto di ispezione cartaceo","PRESENZA ERRORI OPE: Non firmare rapporto ispezione")),"MANCA FIRMA ARQ: Non elaborare rapporto ispezione"),IF(AND(J85="",J86=""),"NESSUN ERRORE TROVATO:Firmare rapporto ispezione",IF(AND(J85="NESSUN CONTROLLO: Rapporto di ispezione cartaceo",J86="NESSUN CONTROLLO: Rapporto di ispezione cartaceo"),"NESSUN CONTROLLO: Rapporto di ispezione cartaceo","PRESENZA ERRORI OPE: Non firmare rapporto ispezione")))</f>
        <v>MANCA FIRMA ARQ: Non elaborare rapporto ispezione</v>
      </c>
      <c r="G7" s="1321"/>
      <c r="H7" s="1321"/>
      <c r="I7" s="478"/>
      <c r="J7" s="501" t="s">
        <v>1038</v>
      </c>
      <c r="K7" s="478"/>
      <c r="L7" s="278" t="s">
        <v>1074</v>
      </c>
    </row>
    <row r="8" spans="1:12" ht="15" customHeight="1" x14ac:dyDescent="0.4">
      <c r="A8" s="477"/>
      <c r="B8" s="545"/>
      <c r="C8" s="545"/>
      <c r="D8" s="545"/>
      <c r="E8" s="545"/>
      <c r="F8" s="478"/>
      <c r="G8" s="478"/>
      <c r="H8" s="478"/>
      <c r="I8" s="478"/>
      <c r="J8" s="501"/>
      <c r="K8" s="478"/>
      <c r="L8" s="475">
        <f>IF('DATI INGRESSO'!D5="X",COUNTBLANK('RAPPORTO ISPEZIONE'!B7:I10)+COUNTBLANK('RAPPORTO ISPEZIONE'!J9:M10)+COUNTBLANK('RAPPORTO ISPEZIONE'!B11:M281)+COUNTBLANK('RAPPORTO ISPEZIONE'!B282)+COUNTBLANK('RAPPORTO ISPEZIONE'!B283:M319)+COUNTBLANK('RAPPORTO ISPEZIONE'!B320)+COUNTBLANK('RAPPORTO ISPEZIONE'!B329:M330)+COUNTBLANK('RAPPORTO ISPEZIONE'!B331:I331)+COUNTBLANK(TABELLE!B58:B60)+COUNTBLANK(TABELLE!B93:B104),"Non necessario")</f>
        <v>2800</v>
      </c>
    </row>
    <row r="9" spans="1:12" x14ac:dyDescent="0.25">
      <c r="A9" s="1317" t="s">
        <v>1036</v>
      </c>
      <c r="B9" s="1284" t="s">
        <v>1014</v>
      </c>
      <c r="C9" s="1284"/>
      <c r="D9" s="1284"/>
      <c r="E9" s="1284"/>
      <c r="F9" s="1284"/>
      <c r="G9" s="1284"/>
      <c r="H9" s="1284"/>
      <c r="I9" s="478"/>
      <c r="J9" s="515"/>
      <c r="K9" s="480"/>
      <c r="L9" s="516">
        <v>2846</v>
      </c>
    </row>
    <row r="10" spans="1:12" x14ac:dyDescent="0.25">
      <c r="A10" s="1317"/>
      <c r="B10" s="1284" t="s">
        <v>1015</v>
      </c>
      <c r="C10" s="1284"/>
      <c r="D10" s="1284"/>
      <c r="E10" s="1284"/>
      <c r="F10" s="1284"/>
      <c r="G10" s="1284"/>
      <c r="H10" s="1284"/>
      <c r="I10" s="478"/>
      <c r="J10" s="515"/>
      <c r="K10" s="480"/>
      <c r="L10" s="516"/>
    </row>
    <row r="11" spans="1:12" x14ac:dyDescent="0.25">
      <c r="A11" s="1317"/>
      <c r="B11" s="1284" t="s">
        <v>1016</v>
      </c>
      <c r="C11" s="1284"/>
      <c r="D11" s="1284"/>
      <c r="E11" s="1284"/>
      <c r="F11" s="1284"/>
      <c r="G11" s="1284"/>
      <c r="H11" s="1284"/>
      <c r="I11" s="478"/>
      <c r="J11" s="515"/>
      <c r="K11" s="480"/>
      <c r="L11" s="516"/>
    </row>
    <row r="12" spans="1:12" x14ac:dyDescent="0.25">
      <c r="A12" s="1317"/>
      <c r="B12" s="1284" t="s">
        <v>1017</v>
      </c>
      <c r="C12" s="1284"/>
      <c r="D12" s="1284"/>
      <c r="E12" s="1284"/>
      <c r="F12" s="1284"/>
      <c r="G12" s="1284"/>
      <c r="H12" s="1284"/>
      <c r="I12" s="478"/>
      <c r="J12" s="515"/>
      <c r="K12" s="480"/>
      <c r="L12" s="516"/>
    </row>
    <row r="13" spans="1:12" x14ac:dyDescent="0.25">
      <c r="A13" s="1317"/>
      <c r="B13" s="1284" t="s">
        <v>1018</v>
      </c>
      <c r="C13" s="1284"/>
      <c r="D13" s="1284"/>
      <c r="E13" s="1284"/>
      <c r="F13" s="1284"/>
      <c r="G13" s="1284"/>
      <c r="H13" s="1284"/>
      <c r="I13" s="478"/>
      <c r="J13" s="515"/>
      <c r="K13" s="480"/>
      <c r="L13" s="516"/>
    </row>
    <row r="14" spans="1:12" x14ac:dyDescent="0.25">
      <c r="A14" s="1317"/>
      <c r="B14" s="1284" t="s">
        <v>1019</v>
      </c>
      <c r="C14" s="1284"/>
      <c r="D14" s="1284"/>
      <c r="E14" s="1284"/>
      <c r="F14" s="1284"/>
      <c r="G14" s="1284"/>
      <c r="H14" s="1284"/>
      <c r="I14" s="478"/>
      <c r="J14" s="515"/>
      <c r="K14" s="480"/>
      <c r="L14" s="516"/>
    </row>
    <row r="15" spans="1:12" x14ac:dyDescent="0.25">
      <c r="A15" s="1317"/>
      <c r="B15" s="1284" t="s">
        <v>1020</v>
      </c>
      <c r="C15" s="1284"/>
      <c r="D15" s="1284"/>
      <c r="E15" s="1284"/>
      <c r="F15" s="1284"/>
      <c r="G15" s="1284"/>
      <c r="H15" s="1284"/>
      <c r="I15" s="478"/>
      <c r="J15" s="515"/>
      <c r="K15" s="480"/>
      <c r="L15" s="516"/>
    </row>
    <row r="16" spans="1:12" x14ac:dyDescent="0.25">
      <c r="A16" s="1317"/>
      <c r="B16" s="1284" t="s">
        <v>1021</v>
      </c>
      <c r="C16" s="1284"/>
      <c r="D16" s="1284"/>
      <c r="E16" s="1284"/>
      <c r="F16" s="1284"/>
      <c r="G16" s="1284"/>
      <c r="H16" s="1284"/>
      <c r="I16" s="478"/>
      <c r="J16" s="515"/>
      <c r="K16" s="480"/>
      <c r="L16" s="516"/>
    </row>
    <row r="17" spans="1:12" x14ac:dyDescent="0.25">
      <c r="A17" s="1317"/>
      <c r="B17" s="1284" t="s">
        <v>1022</v>
      </c>
      <c r="C17" s="1284"/>
      <c r="D17" s="1284"/>
      <c r="E17" s="1284"/>
      <c r="F17" s="1284"/>
      <c r="G17" s="1284"/>
      <c r="H17" s="1284"/>
      <c r="I17" s="478"/>
      <c r="J17" s="515"/>
      <c r="K17" s="480"/>
      <c r="L17" s="516"/>
    </row>
    <row r="18" spans="1:12" x14ac:dyDescent="0.25">
      <c r="A18" s="477"/>
      <c r="B18" s="478"/>
      <c r="C18" s="478"/>
      <c r="D18" s="478"/>
      <c r="E18" s="478"/>
      <c r="F18" s="478"/>
      <c r="G18" s="478"/>
      <c r="H18" s="478"/>
      <c r="I18" s="478"/>
      <c r="J18" s="478"/>
      <c r="K18" s="480"/>
      <c r="L18" s="481"/>
    </row>
    <row r="19" spans="1:12" x14ac:dyDescent="0.25">
      <c r="A19" s="477"/>
      <c r="B19" s="1284" t="s">
        <v>1034</v>
      </c>
      <c r="C19" s="1284"/>
      <c r="D19" s="1284"/>
      <c r="E19" s="1284"/>
      <c r="F19" s="1284"/>
      <c r="G19" s="1284"/>
      <c r="H19" s="1284"/>
      <c r="I19" s="478"/>
      <c r="J19" s="515"/>
      <c r="K19" s="480"/>
      <c r="L19" s="479"/>
    </row>
    <row r="20" spans="1:12" x14ac:dyDescent="0.25">
      <c r="A20" s="477"/>
      <c r="B20" s="478"/>
      <c r="C20" s="478"/>
      <c r="D20" s="478"/>
      <c r="E20" s="478"/>
      <c r="F20" s="478"/>
      <c r="G20" s="478"/>
      <c r="H20" s="478"/>
      <c r="I20" s="478"/>
      <c r="J20" s="478"/>
      <c r="K20" s="478"/>
      <c r="L20" s="479"/>
    </row>
    <row r="21" spans="1:12" ht="30" x14ac:dyDescent="0.25">
      <c r="A21" s="477"/>
      <c r="B21" s="478"/>
      <c r="C21" s="478"/>
      <c r="D21" s="478"/>
      <c r="E21" s="478"/>
      <c r="F21" s="478"/>
      <c r="G21" s="478"/>
      <c r="H21" s="478"/>
      <c r="I21" s="478"/>
      <c r="J21" s="478"/>
      <c r="K21" s="478"/>
      <c r="L21" s="278" t="s">
        <v>1075</v>
      </c>
    </row>
    <row r="22" spans="1:12" x14ac:dyDescent="0.25">
      <c r="A22" s="477"/>
      <c r="B22" s="478"/>
      <c r="C22" s="478"/>
      <c r="D22" s="478"/>
      <c r="E22" s="478"/>
      <c r="F22" s="478"/>
      <c r="G22" s="478"/>
      <c r="H22" s="478"/>
      <c r="I22" s="478"/>
      <c r="J22" s="478"/>
      <c r="K22" s="478"/>
      <c r="L22" s="475">
        <f>IF('DATI INGRESSO'!D5="X",COUNTBLANK('DATI INGRESSO'!A4:E23)+COUNTBLANK('DATI INGRESSO'!F4:P15)+COUNTBLANK('DATI INGRESSO'!F17:P23)+COUNTBLANK('DATI INGRESSO'!A24:P984)+COUNTBLANK('RAPPORTO ISPEZIONE'!J7:M8)+COUNTBLANK('RAPPORTO ISPEZIONE'!F282:M282)+COUNTBLANK('RAPPORTO ISPEZIONE'!C320)+COUNTBLANK(TABELLE!G145:J158),"Non necessario")</f>
        <v>12943</v>
      </c>
    </row>
    <row r="23" spans="1:12" ht="15" customHeight="1" x14ac:dyDescent="0.25">
      <c r="A23" s="477"/>
      <c r="B23" s="1284" t="s">
        <v>1035</v>
      </c>
      <c r="C23" s="1284"/>
      <c r="D23" s="1284"/>
      <c r="E23" s="1284"/>
      <c r="F23" s="1284"/>
      <c r="G23" s="1284"/>
      <c r="H23" s="1284"/>
      <c r="I23" s="478"/>
      <c r="J23" s="515"/>
      <c r="K23" s="480"/>
      <c r="L23" s="516"/>
    </row>
    <row r="24" spans="1:12" ht="15" customHeight="1" x14ac:dyDescent="0.25">
      <c r="A24" s="477"/>
      <c r="B24" s="478"/>
      <c r="C24" s="478"/>
      <c r="D24" s="478"/>
      <c r="E24" s="478"/>
      <c r="F24" s="478"/>
      <c r="G24" s="478"/>
      <c r="H24" s="478"/>
      <c r="I24" s="478"/>
      <c r="J24" s="478"/>
      <c r="K24" s="478"/>
      <c r="L24" s="479"/>
    </row>
    <row r="25" spans="1:12" ht="15" customHeight="1" x14ac:dyDescent="0.25">
      <c r="A25" s="477"/>
      <c r="B25" s="478"/>
      <c r="C25" s="478"/>
      <c r="D25" s="478"/>
      <c r="E25" s="478"/>
      <c r="F25" s="478"/>
      <c r="G25" s="478"/>
      <c r="H25" s="478"/>
      <c r="I25" s="478"/>
      <c r="J25" s="478"/>
      <c r="K25" s="478"/>
      <c r="L25" s="479"/>
    </row>
    <row r="26" spans="1:12" ht="15" customHeight="1" x14ac:dyDescent="0.25">
      <c r="A26" s="477"/>
      <c r="B26" s="1284" t="s">
        <v>1070</v>
      </c>
      <c r="C26" s="1284"/>
      <c r="D26" s="1284"/>
      <c r="E26" s="1284"/>
      <c r="F26" s="1284"/>
      <c r="G26" s="1284"/>
      <c r="H26" s="1284"/>
      <c r="I26" s="478"/>
      <c r="J26" s="515"/>
      <c r="K26" s="480"/>
      <c r="L26" s="479"/>
    </row>
    <row r="27" spans="1:12" x14ac:dyDescent="0.25">
      <c r="A27" s="477"/>
      <c r="B27" s="521"/>
      <c r="C27" s="521"/>
      <c r="D27" s="521"/>
      <c r="E27" s="521"/>
      <c r="F27" s="521"/>
      <c r="G27" s="521"/>
      <c r="H27" s="521"/>
      <c r="I27" s="478"/>
      <c r="J27" s="478"/>
      <c r="K27" s="478"/>
      <c r="L27" s="479"/>
    </row>
    <row r="28" spans="1:12" s="476" customFormat="1" ht="15.75" thickBot="1" x14ac:dyDescent="0.3">
      <c r="A28" s="477"/>
      <c r="B28" s="521"/>
      <c r="C28" s="354"/>
      <c r="D28" s="354"/>
      <c r="E28" s="354"/>
      <c r="F28" s="354"/>
      <c r="G28" s="354"/>
      <c r="H28" s="354"/>
      <c r="I28" s="478"/>
      <c r="J28" s="478"/>
      <c r="K28" s="478"/>
      <c r="L28" s="305"/>
    </row>
    <row r="29" spans="1:12" ht="31.5" customHeight="1" thickBot="1" x14ac:dyDescent="0.3">
      <c r="A29" s="477"/>
      <c r="B29" s="478"/>
      <c r="C29" s="478"/>
      <c r="D29" s="478"/>
      <c r="E29" s="478"/>
      <c r="F29" s="478"/>
      <c r="G29" s="478"/>
      <c r="H29" s="478"/>
      <c r="I29" s="478"/>
      <c r="J29" s="1288" t="s">
        <v>1037</v>
      </c>
      <c r="K29" s="1289"/>
      <c r="L29" s="1290"/>
    </row>
    <row r="30" spans="1:12" ht="30" customHeight="1" x14ac:dyDescent="0.25">
      <c r="A30" s="1303" t="s">
        <v>1045</v>
      </c>
      <c r="B30" s="1287" t="s">
        <v>1039</v>
      </c>
      <c r="C30" s="1287"/>
      <c r="D30" s="1287"/>
      <c r="E30" s="1287"/>
      <c r="F30" s="1287"/>
      <c r="G30" s="1287"/>
      <c r="H30" s="1287"/>
      <c r="I30" s="478"/>
      <c r="J30" s="1291" t="str">
        <f>IF('DATI INGRESSO'!D5="X",IF(AND(COUNTA(J9:J17)&gt;0,COUNTA(L9:L17)=0,J19="",J23=""),"ERRORE DI MANOMISSIONE FILE: Cancellazione o mancata compilazione codice di protezione da parte di OPEE",""),"NESSUN CONTROLLO: Rapporto di ispezione cartaceo")</f>
        <v/>
      </c>
      <c r="K30" s="1291"/>
      <c r="L30" s="1292"/>
    </row>
    <row r="31" spans="1:12" ht="30" customHeight="1" x14ac:dyDescent="0.25">
      <c r="A31" s="1304"/>
      <c r="B31" s="1287" t="s">
        <v>1040</v>
      </c>
      <c r="C31" s="1287"/>
      <c r="D31" s="1287"/>
      <c r="E31" s="1287"/>
      <c r="F31" s="1287"/>
      <c r="G31" s="1287"/>
      <c r="H31" s="1287"/>
      <c r="I31" s="478"/>
      <c r="J31" s="1285" t="str">
        <f>IF('DATI INGRESSO'!D5="X",IF(AND(COUNTA(J9:J17)&gt;0,COUNTA(L9:L17)&gt;0,J19="",J23=""),IF(L8&lt;&gt;SUM(L9:L17),"ERRORE DI MANOMISSIONE FILE: Il rapporto di ispezione è stato manomesso dopo firma OPEE",""),""),"NESSUN CONTROLLO: Rapporto di ispezione cartaceo")</f>
        <v/>
      </c>
      <c r="K31" s="1285"/>
      <c r="L31" s="1286"/>
    </row>
    <row r="32" spans="1:12" ht="33" customHeight="1" x14ac:dyDescent="0.25">
      <c r="A32" s="1304"/>
      <c r="B32" s="1287" t="s">
        <v>1041</v>
      </c>
      <c r="C32" s="1287"/>
      <c r="D32" s="1287"/>
      <c r="E32" s="1287"/>
      <c r="F32" s="1287"/>
      <c r="G32" s="1287"/>
      <c r="H32" s="1287"/>
      <c r="I32" s="478"/>
      <c r="J32" s="1285" t="str">
        <f>IF('DATI INGRESSO'!D5="X",IF(AND(COUNTA(J9:J17)=0,OR(J19&lt;&gt;"",J23&lt;&gt;"")),"ERRORE DI MANOMISSIONE FILE: La firma dell'operatore OPEE è stata cancellata",""),"NESSUN CONTROLLO: Rapporto di ispezione cartaceo")</f>
        <v/>
      </c>
      <c r="K32" s="1285"/>
      <c r="L32" s="1286"/>
    </row>
    <row r="33" spans="1:12" ht="30" customHeight="1" x14ac:dyDescent="0.25">
      <c r="A33" s="1304"/>
      <c r="B33" s="1287" t="s">
        <v>1042</v>
      </c>
      <c r="C33" s="1287"/>
      <c r="D33" s="1287"/>
      <c r="E33" s="1287"/>
      <c r="F33" s="1287"/>
      <c r="G33" s="1287"/>
      <c r="H33" s="1287"/>
      <c r="I33" s="478"/>
      <c r="J33" s="1285" t="str">
        <f>IF('DATI INGRESSO'!D5="X",IF(AND(J19="",J23&lt;&gt;""),"ERRORE DI MANOMISSIONE FILE: La firma di ARQ è stata cancellata",""),"NESSUN CONTROLLO: Rapporto di ispezione cartaceo")</f>
        <v/>
      </c>
      <c r="K33" s="1285"/>
      <c r="L33" s="1286"/>
    </row>
    <row r="34" spans="1:12" ht="30" customHeight="1" x14ac:dyDescent="0.25">
      <c r="A34" s="1304"/>
      <c r="B34" s="1287" t="s">
        <v>1043</v>
      </c>
      <c r="C34" s="1287"/>
      <c r="D34" s="1287"/>
      <c r="E34" s="1287"/>
      <c r="F34" s="1287"/>
      <c r="G34" s="1287"/>
      <c r="H34" s="1287"/>
      <c r="I34" s="478"/>
      <c r="J34" s="1285" t="str">
        <f>IF('DATI INGRESSO'!D5="X",IF(AND(J19&lt;&gt;"",J23=""),IF(L8&lt;&gt;SUM(L9:L17),"ERRORE DI MANOMISSIONE FILE: Il rapporto di ispezione è stato manomesso dopo firma ARQ",""),""),"NESSUN CONTROLLO: Rapporto di ispezione cartaceo")</f>
        <v/>
      </c>
      <c r="K34" s="1285"/>
      <c r="L34" s="1286"/>
    </row>
    <row r="35" spans="1:12" ht="30" customHeight="1" x14ac:dyDescent="0.25">
      <c r="A35" s="1304"/>
      <c r="B35" s="1287" t="s">
        <v>1044</v>
      </c>
      <c r="C35" s="1287"/>
      <c r="D35" s="1287"/>
      <c r="E35" s="1287"/>
      <c r="F35" s="1287"/>
      <c r="G35" s="1287"/>
      <c r="H35" s="1287"/>
      <c r="I35" s="478"/>
      <c r="J35" s="1285" t="str">
        <f>IF('DATI INGRESSO'!D5="X",IF(AND(J19&lt;&gt;"",J23&lt;&gt;""),IF(L8&lt;&gt;SUM(L9:L17),"ERRORE DI MANOMISSIONE FILE: Il rapporto di ispezione è stato manomesso dopo firma OPE",""),""),"NESSUN CONTROLLO: Rapporto di ispezione cartaceo")</f>
        <v/>
      </c>
      <c r="K35" s="1285"/>
      <c r="L35" s="1286"/>
    </row>
    <row r="36" spans="1:12" ht="30" customHeight="1" x14ac:dyDescent="0.25">
      <c r="A36" s="1304"/>
      <c r="B36" s="1287" t="s">
        <v>1071</v>
      </c>
      <c r="C36" s="1287"/>
      <c r="D36" s="1287"/>
      <c r="E36" s="1287"/>
      <c r="F36" s="1287"/>
      <c r="G36" s="1287"/>
      <c r="H36" s="1287"/>
      <c r="I36" s="478"/>
      <c r="J36" s="1291" t="str">
        <f>IF('DATI INGRESSO'!D5="X",IF(AND(J23&lt;&gt;"",L23=""),"ERRORE DI MANOMISSIONE FILE: Cancellazione o mancata compilazione codice di protezione da parte di OPE",""),"NESSUN CONTROLLO: Rapporto di ispezione cartaceo")</f>
        <v/>
      </c>
      <c r="K36" s="1291"/>
      <c r="L36" s="1292"/>
    </row>
    <row r="37" spans="1:12" ht="30" customHeight="1" x14ac:dyDescent="0.25">
      <c r="A37" s="1304"/>
      <c r="B37" s="1287" t="s">
        <v>1072</v>
      </c>
      <c r="C37" s="1287"/>
      <c r="D37" s="1287"/>
      <c r="E37" s="1287"/>
      <c r="F37" s="1287"/>
      <c r="G37" s="1287"/>
      <c r="H37" s="1287"/>
      <c r="I37" s="478"/>
      <c r="J37" s="1285" t="str">
        <f>IF('DATI INGRESSO'!D5="X",IF(J23&lt;&gt;"",IF(AND(L22&lt;&gt;L23,J26=""),"ERRORE DI MANOMISSIONE FILE: Il foglio DATI INGRESSO è stato manomesso dopo firma OPE",""),""),"NESSUN CONTROLLO: Rapporto di ispezione cartaceo")</f>
        <v/>
      </c>
      <c r="K37" s="1285"/>
      <c r="L37" s="1286"/>
    </row>
    <row r="38" spans="1:12" ht="30" customHeight="1" x14ac:dyDescent="0.25">
      <c r="A38" s="1305"/>
      <c r="B38" s="1287" t="s">
        <v>1073</v>
      </c>
      <c r="C38" s="1287"/>
      <c r="D38" s="1287"/>
      <c r="E38" s="1287"/>
      <c r="F38" s="1287"/>
      <c r="G38" s="1287"/>
      <c r="H38" s="1287"/>
      <c r="I38" s="478"/>
      <c r="J38" s="1285" t="str">
        <f>IF('DATI INGRESSO'!D5="X",IF(AND(J23="",J26&lt;&gt;""),"ERRORE DI MANOMISSIONE FILE: La firma di OPE è stata cancellata",""),"NESSUN CONTROLLO: Rapporto di ispezione cartaceo")</f>
        <v/>
      </c>
      <c r="K38" s="1285"/>
      <c r="L38" s="1286"/>
    </row>
    <row r="39" spans="1:12" ht="30" customHeight="1" thickBot="1" x14ac:dyDescent="0.3">
      <c r="A39" s="482"/>
      <c r="B39" s="483"/>
      <c r="C39" s="484"/>
      <c r="D39" s="484"/>
      <c r="E39" s="484"/>
      <c r="F39" s="1293" t="s">
        <v>215</v>
      </c>
      <c r="G39" s="1293"/>
      <c r="H39" s="1293"/>
      <c r="I39" s="484"/>
      <c r="J39" s="1312" t="str">
        <f>IF('DATI INGRESSO'!D5="X",IF(AND(COUNTA(J9:J17)=0,J19="",J23="",J26=""),"Rapporto di ispezione in fase di redazione",IF(AND(J30="",J31="",J32="",J33="",J34="",J35="",J36="",J37="",J38=""),"POSITIVO: FILE ATTUALMENTE NON MANOMESSO DURANTE IL PROCESSO DI ELABORAZIONE DATI","NEGATIVO: ATTENZIONE, MANOMISSIONE FILE DATI.")),"NESSUN CONTROLLO: Rapporto di ispezione cartaceo")</f>
        <v>Rapporto di ispezione in fase di redazione</v>
      </c>
      <c r="K39" s="1312"/>
      <c r="L39" s="1313"/>
    </row>
    <row r="40" spans="1:12" ht="30" customHeight="1" x14ac:dyDescent="0.25">
      <c r="A40" s="502"/>
      <c r="B40" s="503"/>
      <c r="C40" s="503"/>
      <c r="D40" s="503"/>
      <c r="E40" s="503"/>
      <c r="F40" s="503"/>
      <c r="G40" s="503"/>
      <c r="H40" s="503"/>
      <c r="I40" s="478"/>
      <c r="J40" s="354"/>
      <c r="K40" s="354"/>
      <c r="L40" s="504"/>
    </row>
    <row r="41" spans="1:12" ht="15.75" thickBot="1" x14ac:dyDescent="0.3">
      <c r="A41" s="477"/>
      <c r="B41" s="473"/>
      <c r="C41" s="473"/>
      <c r="D41" s="473"/>
      <c r="E41" s="537"/>
      <c r="F41" s="473"/>
      <c r="G41" s="473"/>
      <c r="H41" s="473"/>
      <c r="I41" s="478"/>
      <c r="J41" s="478"/>
      <c r="K41" s="478"/>
      <c r="L41" s="305"/>
    </row>
    <row r="42" spans="1:12" s="476" customFormat="1" ht="34.5" customHeight="1" thickBot="1" x14ac:dyDescent="0.3">
      <c r="A42" s="477"/>
      <c r="B42" s="521"/>
      <c r="C42" s="521"/>
      <c r="D42" s="521"/>
      <c r="E42" s="521"/>
      <c r="F42" s="521"/>
      <c r="G42" s="521"/>
      <c r="H42" s="521"/>
      <c r="I42" s="478"/>
      <c r="J42" s="1288" t="s">
        <v>1168</v>
      </c>
      <c r="K42" s="1289"/>
      <c r="L42" s="1290"/>
    </row>
    <row r="43" spans="1:12" s="476" customFormat="1" ht="27" customHeight="1" x14ac:dyDescent="0.25">
      <c r="A43" s="1267" t="s">
        <v>1217</v>
      </c>
      <c r="B43" s="1287" t="s">
        <v>1125</v>
      </c>
      <c r="C43" s="1287"/>
      <c r="D43" s="1287"/>
      <c r="E43" s="1287"/>
      <c r="F43" s="1287"/>
      <c r="G43" s="1287"/>
      <c r="H43" s="1287"/>
      <c r="I43" s="478"/>
      <c r="J43" s="1280" t="str">
        <f>IF('DATI INGRESSO'!D5="X",IF(OR('RAPPORTO ISPEZIONE'!J330="",'RAPPORTO ISPEZIONE'!D331=""),"ERRORE: Mancano firme OPEE in fondo al Rapporto di Ispezione. ",""),"NESSUN CONTROLLO: Rapporto di ispezione cartaceo")</f>
        <v/>
      </c>
      <c r="K43" s="1280"/>
      <c r="L43" s="1281"/>
    </row>
    <row r="44" spans="1:12" s="476" customFormat="1" ht="25.5" customHeight="1" x14ac:dyDescent="0.25">
      <c r="A44" s="1268"/>
      <c r="B44" s="1287" t="s">
        <v>1126</v>
      </c>
      <c r="C44" s="1287"/>
      <c r="D44" s="1287"/>
      <c r="E44" s="1287"/>
      <c r="F44" s="1287"/>
      <c r="G44" s="1287"/>
      <c r="H44" s="1287"/>
      <c r="I44" s="478"/>
      <c r="J44" s="1280" t="str">
        <f>IF('DATI INGRESSO'!D5="X",CONCATENATE(IF('RAPPORTO ISPEZIONE'!D180&lt;&gt;"",IF(AND(AND('RAPPORTO ISPEZIONE'!D66="X",OR('RAPPORTO ISPEZIONE'!F66="X",'RAPPORTO ISPEZIONE'!G66="X")),'RAPPORTO ISPEZIONE'!G177="X"),"ERRORE: Selezionata tensione F-N con ARON o 3W in prove REALE. ",""),""),IF('RAPPORTO ISPEZIONE'!D214&lt;&gt;"",IF(AND(AND('RAPPORTO ISPEZIONE'!D66="X",OR('RAPPORTO ISPEZIONE'!F66="X",'RAPPORTO ISPEZIONE'!G66="X")),'RAPPORTO ISPEZIONE'!M211="X"),"ERRORE: Selezionata tensione F-N con ARON o 3W in prove FITTIZIO. ",""),"")),"NESSUN CONTROLLO: Rapporto di ispezione cartaceo")</f>
        <v/>
      </c>
      <c r="K44" s="1280"/>
      <c r="L44" s="1281"/>
    </row>
    <row r="45" spans="1:12" s="476" customFormat="1" ht="24.75" customHeight="1" x14ac:dyDescent="0.25">
      <c r="A45" s="1268"/>
      <c r="B45" s="1279" t="s">
        <v>1129</v>
      </c>
      <c r="C45" s="1279"/>
      <c r="D45" s="1279"/>
      <c r="E45" s="1279"/>
      <c r="F45" s="1279"/>
      <c r="G45" s="1279"/>
      <c r="H45" s="1279"/>
      <c r="I45" s="478"/>
      <c r="J45" s="1280" t="str">
        <f>IF('DATI INGRESSO'!D5="X",IF(OR('RAPPORTO ISPEZIONE'!C80="",'RAPPORTO ISPEZIONE'!K80=""),"ERRORE: Manca termoigrometro oppure temperatura Ispezione. ",""),"NESSUN CONTROLLO: Rapporto di ispezione cartaceo")</f>
        <v/>
      </c>
      <c r="K45" s="1280"/>
      <c r="L45" s="1281"/>
    </row>
    <row r="46" spans="1:12" s="476" customFormat="1" ht="26.25" customHeight="1" x14ac:dyDescent="0.25">
      <c r="A46" s="1268"/>
      <c r="B46" s="1279" t="s">
        <v>1159</v>
      </c>
      <c r="C46" s="1279"/>
      <c r="D46" s="1279"/>
      <c r="E46" s="1279"/>
      <c r="F46" s="1279"/>
      <c r="G46" s="1279"/>
      <c r="H46" s="1279"/>
      <c r="I46" s="478"/>
      <c r="J46" s="1280" t="str">
        <f>IF('DATI INGRESSO'!D5="X",CONCATENATE(IF('RAPPORTO ISPEZIONE'!D91="","ERRORE: Manca data Inizio Verifica. ",""),IF('RAPPORTO ISPEZIONE'!D92="","ERRORE: Manca ora Inizio Verifica. ",""),IF('RAPPORTO ISPEZIONE'!D285="","ERRORE: Manca data Fine Verifica. ",""),IF('RAPPORTO ISPEZIONE'!D286="","ERRORE: Manca ora Fine Verifica. ","")),"NESSUN CONTROLLO: Rapporto di ispezione cartaceo")</f>
        <v/>
      </c>
      <c r="K46" s="1280"/>
      <c r="L46" s="1281"/>
    </row>
    <row r="47" spans="1:12" s="476" customFormat="1" ht="26.25" customHeight="1" x14ac:dyDescent="0.25">
      <c r="A47" s="1268"/>
      <c r="B47" s="1279" t="s">
        <v>1156</v>
      </c>
      <c r="C47" s="1279"/>
      <c r="D47" s="1279"/>
      <c r="E47" s="1279"/>
      <c r="F47" s="1279"/>
      <c r="G47" s="1279"/>
      <c r="H47" s="1279"/>
      <c r="I47" s="478"/>
      <c r="J47" s="1280" t="str">
        <f>IF('DATI INGRESSO'!D5="X",IF(('RAPPORTO ISPEZIONE'!D285+'RAPPORTO ISPEZIONE'!D286)&lt;=('RAPPORTO ISPEZIONE'!D91+'RAPPORTO ISPEZIONE'!D92),"ERRORE: Data/ora inizio verifica risulta successiva a data/ora fine verifica. ",""),"NESSUN CONTROLLO: Rapporto di ispezione cartaceo")</f>
        <v/>
      </c>
      <c r="K47" s="1280"/>
      <c r="L47" s="1281"/>
    </row>
    <row r="48" spans="1:12" s="476" customFormat="1" ht="24" customHeight="1" x14ac:dyDescent="0.25">
      <c r="A48" s="1268"/>
      <c r="B48" s="1279" t="s">
        <v>1132</v>
      </c>
      <c r="C48" s="1279"/>
      <c r="D48" s="1279"/>
      <c r="E48" s="1279"/>
      <c r="F48" s="1279"/>
      <c r="G48" s="1279"/>
      <c r="H48" s="1279"/>
      <c r="I48" s="478"/>
      <c r="J48" s="1280" t="str">
        <f>IF('DATI INGRESSO'!D5="X",CONCATENATE(IF(COUNTIF('RAPPORTO ISPEZIONE'!F91:M91,"")=8,"ERRORE: Non inserito alcun registro in Campi Letture Iniziali di Verifica. ",""),IF(COUNTIF('RAPPORTO ISPEZIONE'!F285:M285,"")=8,"ERRORE: Non inserito alcun registro in Campi Letture Finali di Verifica. ","")),"NESSUN CONTROLLO: Rapporto di ispezione cartaceo")</f>
        <v/>
      </c>
      <c r="K48" s="1280"/>
      <c r="L48" s="1281"/>
    </row>
    <row r="49" spans="1:12" s="476" customFormat="1" ht="27.75" customHeight="1" x14ac:dyDescent="0.25">
      <c r="A49" s="1268"/>
      <c r="B49" s="1279" t="s">
        <v>1130</v>
      </c>
      <c r="C49" s="1279"/>
      <c r="D49" s="1279"/>
      <c r="E49" s="1279"/>
      <c r="F49" s="1279"/>
      <c r="G49" s="1279"/>
      <c r="H49" s="1279"/>
      <c r="J49" s="1280" t="str">
        <f>IF('DATI INGRESSO'!D5="X",CONCATENATE(IF(COUNTIF('RAPPORTO ISPEZIONE'!F92:M92,"")=8,"ERRORE: Non inserito alcuna lettura in Campi Letture Iniziali di Verifica. ",""),IF(COUNTIF('RAPPORTO ISPEZIONE'!F286:M286,"")=8,"ERRORE: Non inserito alcuna lettura in Campi Letture Finali di Verifica. ","")),"NESSUN CONTROLLO: Rapporto di ispezione cartaceo")</f>
        <v/>
      </c>
      <c r="K49" s="1280"/>
      <c r="L49" s="1281"/>
    </row>
    <row r="50" spans="1:12" s="476" customFormat="1" ht="29.25" customHeight="1" x14ac:dyDescent="0.25">
      <c r="A50" s="1268"/>
      <c r="B50" s="1279" t="s">
        <v>1134</v>
      </c>
      <c r="C50" s="1279"/>
      <c r="D50" s="1279"/>
      <c r="E50" s="1279"/>
      <c r="F50" s="1279"/>
      <c r="G50" s="1279"/>
      <c r="H50" s="1279"/>
      <c r="I50" s="478"/>
      <c r="J50" s="1280" t="str">
        <f>IF('DATI INGRESSO'!D5="X",IF(IF(AND('RAPPORTO ISPEZIONE'!F92&lt;&gt;"",'RAPPORTO ISPEZIONE'!F286&lt;&gt;""),IF('RAPPORTO ISPEZIONE'!F286-'RAPPORTO ISPEZIONE'!F92&lt;0,1,0))+IF(AND('RAPPORTO ISPEZIONE'!G92&lt;&gt;"",'RAPPORTO ISPEZIONE'!G286&lt;&gt;""),IF('RAPPORTO ISPEZIONE'!G286-'RAPPORTO ISPEZIONE'!G92&lt;0,1,0))+IF(AND('RAPPORTO ISPEZIONE'!H92&lt;&gt;"",'RAPPORTO ISPEZIONE'!H286&lt;&gt;""),IF('RAPPORTO ISPEZIONE'!H286-'RAPPORTO ISPEZIONE'!H92&lt;0,1,0))+IF(AND('RAPPORTO ISPEZIONE'!I92&lt;&gt;"",'RAPPORTO ISPEZIONE'!I286&lt;&gt;""),IF('RAPPORTO ISPEZIONE'!I286-'RAPPORTO ISPEZIONE'!I92&lt;0,1,0))+IF(AND('RAPPORTO ISPEZIONE'!J92&lt;&gt;"",'RAPPORTO ISPEZIONE'!J286&lt;&gt;""),IF('RAPPORTO ISPEZIONE'!J286-'RAPPORTO ISPEZIONE'!J92&lt;0,1,0))+IF(AND('RAPPORTO ISPEZIONE'!K92&lt;&gt;"",'RAPPORTO ISPEZIONE'!K286&lt;&gt;""),IF('RAPPORTO ISPEZIONE'!K286-'RAPPORTO ISPEZIONE'!K92&lt;0,1,0))+IF(AND('RAPPORTO ISPEZIONE'!L92&lt;&gt;"",'RAPPORTO ISPEZIONE'!L286&lt;&gt;""),IF('RAPPORTO ISPEZIONE'!L286-'RAPPORTO ISPEZIONE'!L92&lt;0,1,0))+IF(AND('RAPPORTO ISPEZIONE'!M92&lt;&gt;"",'RAPPORTO ISPEZIONE'!M286&lt;&gt;""),IF('RAPPORTO ISPEZIONE'!M286-'RAPPORTO ISPEZIONE'!M92&lt;0,1,0))&lt;&gt;0,"ERRORE: Alcune Letture Finali di Verifica sono inferiori alle Letture Iniziali di Verifica. ",""),"NESSUN CONTROLLO: Rapporto di ispezione cartaceo")</f>
        <v/>
      </c>
      <c r="K50" s="1280"/>
      <c r="L50" s="1281"/>
    </row>
    <row r="51" spans="1:12" s="476" customFormat="1" ht="29.25" customHeight="1" x14ac:dyDescent="0.25">
      <c r="A51" s="1268"/>
      <c r="B51" s="1277" t="s">
        <v>1147</v>
      </c>
      <c r="C51" s="1277"/>
      <c r="D51" s="1277"/>
      <c r="E51" s="1277"/>
      <c r="F51" s="1277"/>
      <c r="G51" s="1277"/>
      <c r="H51" s="1277"/>
      <c r="I51" s="480"/>
      <c r="J51" s="1280" t="str">
        <f>IF('DATI INGRESSO'!D5="X",IF(('RAPPORTO ISPEZIONE'!F286+'RAPPORTO ISPEZIONE'!G286+'RAPPORTO ISPEZIONE'!H286+'RAPPORTO ISPEZIONE'!I286+'RAPPORTO ISPEZIONE'!J286+'RAPPORTO ISPEZIONE'!K286+'RAPPORTO ISPEZIONE'!L286+'RAPPORTO ISPEZIONE'!M286)&lt;=('RAPPORTO ISPEZIONE'!F92+'RAPPORTO ISPEZIONE'!G92+'RAPPORTO ISPEZIONE'!H92+'RAPPORTO ISPEZIONE'!I92+'RAPPORTO ISPEZIONE'!J92+'RAPPORTO ISPEZIONE'!K92+'RAPPORTO ISPEZIONE'!L92+'RAPPORTO ISPEZIONE'!M92),"ERRORE: Qualche lettura Finale di Verifica risulta inferiore alla rispettiva lettura Iniziale di Verifica, oppure nessuna lettura finale risulta superiore alla rispettiva lettura iniziale. ",""),"NESSUN CONTROLLO: Rapporto di ispezione cartaceo")</f>
        <v xml:space="preserve">ERRORE: Qualche lettura Finale di Verifica risulta inferiore alla rispettiva lettura Iniziale di Verifica, oppure nessuna lettura finale risulta superiore alla rispettiva lettura iniziale. </v>
      </c>
      <c r="K51" s="1280"/>
      <c r="L51" s="1281"/>
    </row>
    <row r="52" spans="1:12" s="476" customFormat="1" ht="28.5" customHeight="1" x14ac:dyDescent="0.25">
      <c r="A52" s="1268"/>
      <c r="B52" s="1279" t="s">
        <v>1131</v>
      </c>
      <c r="C52" s="1279"/>
      <c r="D52" s="1279"/>
      <c r="E52" s="1279"/>
      <c r="F52" s="1279"/>
      <c r="G52" s="1279"/>
      <c r="H52" s="1279"/>
      <c r="I52" s="478"/>
      <c r="J52" s="1280" t="str">
        <f>IF('DATI INGRESSO'!D5="X",IF(IF('RAPPORTO ISPEZIONE'!F91&lt;&gt;'RAPPORTO ISPEZIONE'!F285,1,0)+IF('RAPPORTO ISPEZIONE'!G91&lt;&gt;'RAPPORTO ISPEZIONE'!G285,1,0)+IF('RAPPORTO ISPEZIONE'!H91&lt;&gt;'RAPPORTO ISPEZIONE'!H285,1,0)+IF('RAPPORTO ISPEZIONE'!I91&lt;&gt;'RAPPORTO ISPEZIONE'!I285,1,0)+IF('RAPPORTO ISPEZIONE'!J91&lt;&gt;'RAPPORTO ISPEZIONE'!J285,1,0)+IF('RAPPORTO ISPEZIONE'!K91&lt;&gt;'RAPPORTO ISPEZIONE'!K285,1,0)+IF('RAPPORTO ISPEZIONE'!L91&lt;&gt;'RAPPORTO ISPEZIONE'!L285,1,0)+IF('RAPPORTO ISPEZIONE'!M91&lt;&gt;'RAPPORTO ISPEZIONE'!M285,1,0)&lt;&gt;0,"ERRORE: Alcuni registri non sono uguali tra  Letture Finali e Finali di Verifica. ",""),"NESSUN CONTROLLO: Rapporto di ispezione cartaceo")</f>
        <v xml:space="preserve">ERRORE: Alcuni registri non sono uguali tra  Letture Finali e Finali di Verifica. </v>
      </c>
      <c r="K52" s="1280"/>
      <c r="L52" s="1281"/>
    </row>
    <row r="53" spans="1:12" s="476" customFormat="1" ht="28.5" customHeight="1" x14ac:dyDescent="0.25">
      <c r="A53" s="1268"/>
      <c r="B53" s="1279" t="s">
        <v>1133</v>
      </c>
      <c r="C53" s="1279"/>
      <c r="D53" s="1279"/>
      <c r="E53" s="1279"/>
      <c r="F53" s="1279"/>
      <c r="G53" s="1279"/>
      <c r="H53" s="1279"/>
      <c r="I53" s="478"/>
      <c r="J53" s="1280" t="str">
        <f>IF('DATI INGRESSO'!D5="X",IF(IF(OR(AND('RAPPORTO ISPEZIONE'!F92="",'RAPPORTO ISPEZIONE'!F286&lt;&gt;""),AND('RAPPORTO ISPEZIONE'!F92&lt;&gt;"",'RAPPORTO ISPEZIONE'!F286="")),1,0)+IF(OR(AND('RAPPORTO ISPEZIONE'!G92="",'RAPPORTO ISPEZIONE'!G286&lt;&gt;""),AND('RAPPORTO ISPEZIONE'!G92&lt;&gt;"",'RAPPORTO ISPEZIONE'!G286="")),1,0)+IF(OR(AND('RAPPORTO ISPEZIONE'!H92="",'RAPPORTO ISPEZIONE'!H286&lt;&gt;""),AND('RAPPORTO ISPEZIONE'!H92&lt;&gt;"",'RAPPORTO ISPEZIONE'!H286="")),1,0)+IF(OR(AND('RAPPORTO ISPEZIONE'!I92="",'RAPPORTO ISPEZIONE'!I286&lt;&gt;""),AND('RAPPORTO ISPEZIONE'!I92&lt;&gt;"",'RAPPORTO ISPEZIONE'!I286="")),1,0)+IF(OR(AND('RAPPORTO ISPEZIONE'!J92="",'RAPPORTO ISPEZIONE'!J286&lt;&gt;""),AND('RAPPORTO ISPEZIONE'!J92&lt;&gt;"",'RAPPORTO ISPEZIONE'!J286="")),1,0)+IF(OR(AND('RAPPORTO ISPEZIONE'!K92="",'RAPPORTO ISPEZIONE'!K286&lt;&gt;""),AND('RAPPORTO ISPEZIONE'!K92&lt;&gt;"",'RAPPORTO ISPEZIONE'!K286="")),1,0)+IF(OR(AND('RAPPORTO ISPEZIONE'!L92="",'RAPPORTO ISPEZIONE'!L286&lt;&gt;""),AND('RAPPORTO ISPEZIONE'!L92&lt;&gt;"",'RAPPORTO ISPEZIONE'!L286="")),1,0)+IF(OR(AND('RAPPORTO ISPEZIONE'!M92="",'RAPPORTO ISPEZIONE'!M286&lt;&gt;""),AND('RAPPORTO ISPEZIONE'!M92&lt;&gt;"",'RAPPORTO ISPEZIONE'!M286="")),1,0)&lt;&gt;0,"ERRORE: Alcune letture compilate in Letture Iniziali di Verifica non risultano compilate in Letture Finali di Verifica o viceversa. ",""),"NESSUN CONTROLLO: Rapporto di ispezione cartaceo")</f>
        <v xml:space="preserve">ERRORE: Alcune letture compilate in Letture Iniziali di Verifica non risultano compilate in Letture Finali di Verifica o viceversa. </v>
      </c>
      <c r="K53" s="1280"/>
      <c r="L53" s="1281"/>
    </row>
    <row r="54" spans="1:12" s="476" customFormat="1" ht="28.5" customHeight="1" x14ac:dyDescent="0.25">
      <c r="A54" s="1268"/>
      <c r="B54" s="1277" t="s">
        <v>1135</v>
      </c>
      <c r="C54" s="1277"/>
      <c r="D54" s="1277"/>
      <c r="E54" s="1277"/>
      <c r="F54" s="1277"/>
      <c r="G54" s="1277"/>
      <c r="H54" s="1277"/>
      <c r="I54" s="478"/>
      <c r="J54" s="1280" t="str">
        <f>IF('DATI INGRESSO'!D5="X",IF(OR(AND('RAPPORTO ISPEZIONE'!D180="",'RAPPORTO ISPEZIONE'!D203&lt;&gt;""),AND('RAPPORTO ISPEZIONE'!D180&lt;&gt;"",'RAPPORTO ISPEZIONE'!D203="")),"ERRORE: Una delle due date di Misure errore carico reale non risulta compilata. ",""),"NESSUN CONTROLLO: Rapporto di ispezione cartaceo")</f>
        <v/>
      </c>
      <c r="K54" s="1280"/>
      <c r="L54" s="1281"/>
    </row>
    <row r="55" spans="1:12" s="476" customFormat="1" ht="28.5" customHeight="1" x14ac:dyDescent="0.25">
      <c r="A55" s="1268"/>
      <c r="B55" s="1277" t="s">
        <v>1160</v>
      </c>
      <c r="C55" s="1277"/>
      <c r="D55" s="1277"/>
      <c r="E55" s="1277"/>
      <c r="F55" s="1277"/>
      <c r="G55" s="1277"/>
      <c r="H55" s="1277"/>
      <c r="I55" s="478"/>
      <c r="J55" s="1280" t="str">
        <f>IF('DATI INGRESSO'!D5="X",IF(OR(AND('RAPPORTO ISPEZIONE'!D180&lt;&gt;"",'RAPPORTO ISPEZIONE'!D181=""),AND('RAPPORTO ISPEZIONE'!D203&lt;&gt;"",'RAPPORTO ISPEZIONE'!D204="")),"ERRORE: Manca ora in inizio o fine Misure carico reale. ",""),"NESSUN CONTROLLO: Rapporto di ispezione cartaceo")</f>
        <v/>
      </c>
      <c r="K55" s="1280"/>
      <c r="L55" s="1281"/>
    </row>
    <row r="56" spans="1:12" s="476" customFormat="1" ht="28.5" customHeight="1" x14ac:dyDescent="0.25">
      <c r="A56" s="1268"/>
      <c r="B56" s="1277" t="s">
        <v>1157</v>
      </c>
      <c r="C56" s="1277"/>
      <c r="D56" s="1277"/>
      <c r="E56" s="1277"/>
      <c r="F56" s="1277"/>
      <c r="G56" s="1277"/>
      <c r="H56" s="1277"/>
      <c r="I56" s="478"/>
      <c r="J56" s="1280" t="str">
        <f>IF('DATI INGRESSO'!D5="X",IF(AND('RAPPORTO ISPEZIONE'!D180&lt;&gt;"",'RAPPORTO ISPEZIONE'!D203&lt;&gt;""),IF(('RAPPORTO ISPEZIONE'!D203+'RAPPORTO ISPEZIONE'!D204)&lt;=('RAPPORTO ISPEZIONE'!D180+'RAPPORTO ISPEZIONE'!D181),"ERRORE: Data/ora inizio Misure errore carico reale risulta successiva a data/ora fine Misure errore carico reale. ",""),""),"NESSUN CONTROLLO: Rapporto di ispezione cartaceo")</f>
        <v/>
      </c>
      <c r="K56" s="1280"/>
      <c r="L56" s="1281"/>
    </row>
    <row r="57" spans="1:12" s="476" customFormat="1" ht="28.5" customHeight="1" x14ac:dyDescent="0.25">
      <c r="A57" s="1268"/>
      <c r="B57" s="1279" t="s">
        <v>1137</v>
      </c>
      <c r="C57" s="1279"/>
      <c r="D57" s="1279"/>
      <c r="E57" s="1279"/>
      <c r="F57" s="1279"/>
      <c r="G57" s="1279"/>
      <c r="H57" s="1279"/>
      <c r="I57" s="478"/>
      <c r="J57" s="1280" t="str">
        <f>IF('DATI INGRESSO'!D5="X",IF(OR('RAPPORTO ISPEZIONE'!D180&lt;&gt;"",'RAPPORTO ISPEZIONE'!D203&lt;&gt;""),CONCATENATE(IF(COUNTIF('RAPPORTO ISPEZIONE'!F180:M180,"")=8,"ERRORE: Non inserito alcun registro in Letture Iniziali di Misure errore carico reale. ",""),IF(COUNTIF('RAPPORTO ISPEZIONE'!F203:M203,"")=8,"ERRORE: Non inserito alcun registro in Letture Finali di Misure errore carico reale. ","")),""),"NESSUN CONTROLLO: Rapporto di ispezione cartaceo")</f>
        <v/>
      </c>
      <c r="K57" s="1280"/>
      <c r="L57" s="1281"/>
    </row>
    <row r="58" spans="1:12" s="476" customFormat="1" ht="28.5" customHeight="1" x14ac:dyDescent="0.25">
      <c r="A58" s="1268"/>
      <c r="B58" s="1279" t="s">
        <v>1138</v>
      </c>
      <c r="C58" s="1279"/>
      <c r="D58" s="1279"/>
      <c r="E58" s="1279"/>
      <c r="F58" s="1279"/>
      <c r="G58" s="1279"/>
      <c r="H58" s="1279"/>
      <c r="I58" s="478"/>
      <c r="J58" s="1280" t="str">
        <f>IF('DATI INGRESSO'!D5="X",IF(OR('RAPPORTO ISPEZIONE'!D180&lt;&gt;"",'RAPPORTO ISPEZIONE'!D203&lt;&gt;""),CONCATENATE(IF(COUNTIF('RAPPORTO ISPEZIONE'!F181:M181,"")=8,"ERRORE: Non inserita alcuna lettura iniziale in Misure errore carico reale. ",""),IF(COUNTIF('RAPPORTO ISPEZIONE'!F204:M204,"")=8,"ERRORE: Non inserita alcuna lettura finale in Misure errore carico reale. ","")),""),"NESSUN CONTROLLO: Rapporto di ispezione cartaceo")</f>
        <v/>
      </c>
      <c r="K58" s="1280"/>
      <c r="L58" s="1281"/>
    </row>
    <row r="59" spans="1:12" s="476" customFormat="1" ht="28.5" customHeight="1" x14ac:dyDescent="0.25">
      <c r="A59" s="1268"/>
      <c r="B59" s="1279" t="s">
        <v>1139</v>
      </c>
      <c r="C59" s="1279"/>
      <c r="D59" s="1279"/>
      <c r="E59" s="1279"/>
      <c r="F59" s="1279"/>
      <c r="G59" s="1279"/>
      <c r="H59" s="1279"/>
      <c r="I59" s="478"/>
      <c r="J59" s="1280" t="str">
        <f>IF('DATI INGRESSO'!D5="X",IF(OR('RAPPORTO ISPEZIONE'!D180&lt;&gt;"",'RAPPORTO ISPEZIONE'!D203&lt;&gt;""),IF(IF(AND('RAPPORTO ISPEZIONE'!F181&lt;&gt;"",'RAPPORTO ISPEZIONE'!F204&lt;&gt;""),IF('RAPPORTO ISPEZIONE'!F204-'RAPPORTO ISPEZIONE'!F181&lt;0,1,0))+IF(AND('RAPPORTO ISPEZIONE'!G181&lt;&gt;"",'RAPPORTO ISPEZIONE'!G204&lt;&gt;""),IF('RAPPORTO ISPEZIONE'!G204-'RAPPORTO ISPEZIONE'!G181&lt;0,1,0))+IF(AND('RAPPORTO ISPEZIONE'!H181&lt;&gt;"",'RAPPORTO ISPEZIONE'!H204&lt;&gt;""),IF('RAPPORTO ISPEZIONE'!H204-'RAPPORTO ISPEZIONE'!H181&lt;0,1,0))+IF(AND('RAPPORTO ISPEZIONE'!I181&lt;&gt;"",'RAPPORTO ISPEZIONE'!I204&lt;&gt;""),IF('RAPPORTO ISPEZIONE'!I204-'RAPPORTO ISPEZIONE'!I181&lt;0,1,0))+IF(AND('RAPPORTO ISPEZIONE'!J181&lt;&gt;"",'RAPPORTO ISPEZIONE'!J204&lt;&gt;""),IF('RAPPORTO ISPEZIONE'!J204-'RAPPORTO ISPEZIONE'!J181&lt;0,1,0))+IF(AND('RAPPORTO ISPEZIONE'!K181&lt;&gt;"",'RAPPORTO ISPEZIONE'!K204&lt;&gt;""),IF('RAPPORTO ISPEZIONE'!K204-'RAPPORTO ISPEZIONE'!K181&lt;0,1,0))+IF(AND('RAPPORTO ISPEZIONE'!L181&lt;&gt;"",'RAPPORTO ISPEZIONE'!L204&lt;&gt;""),IF('RAPPORTO ISPEZIONE'!L204-'RAPPORTO ISPEZIONE'!L181&lt;0,1,0))+IF(AND('RAPPORTO ISPEZIONE'!M181&lt;&gt;"",'RAPPORTO ISPEZIONE'!M204&lt;&gt;""),IF('RAPPORTO ISPEZIONE'!M204-'RAPPORTO ISPEZIONE'!M181&lt;0,1,0))&lt;&gt;0,"ERRORE: Alcune Letture Finali in Misure errore carico reale sono inferiori alle Letture Iniziali in Misure errore carico reale. ",""),""),"NESSUN CONTROLLO: Rapporto di ispezione cartaceo")</f>
        <v/>
      </c>
      <c r="K59" s="1280"/>
      <c r="L59" s="1281"/>
    </row>
    <row r="60" spans="1:12" s="476" customFormat="1" ht="30.75" customHeight="1" x14ac:dyDescent="0.25">
      <c r="A60" s="1268"/>
      <c r="B60" s="1277" t="s">
        <v>1148</v>
      </c>
      <c r="C60" s="1277"/>
      <c r="D60" s="1277"/>
      <c r="E60" s="1277"/>
      <c r="F60" s="1277"/>
      <c r="G60" s="1277"/>
      <c r="H60" s="1277"/>
      <c r="I60" s="480"/>
      <c r="J60" s="1280" t="str">
        <f>IF('DATI INGRESSO'!D5="X",IF(OR('RAPPORTO ISPEZIONE'!D180&lt;&gt;"",'RAPPORTO ISPEZIONE'!D203&lt;&gt;""),IF(('RAPPORTO ISPEZIONE'!F204+'RAPPORTO ISPEZIONE'!G204+'RAPPORTO ISPEZIONE'!H204+'RAPPORTO ISPEZIONE'!I204+'RAPPORTO ISPEZIONE'!J204+'RAPPORTO ISPEZIONE'!K204+'RAPPORTO ISPEZIONE'!L204+'RAPPORTO ISPEZIONE'!M204)&lt;=('RAPPORTO ISPEZIONE'!F181+'RAPPORTO ISPEZIONE'!G181+'RAPPORTO ISPEZIONE'!H181+'RAPPORTO ISPEZIONE'!I181+'RAPPORTO ISPEZIONE'!J181+'RAPPORTO ISPEZIONE'!K181+'RAPPORTO ISPEZIONE'!L181+'RAPPORTO ISPEZIONE'!M181),"ERRORE: Qualche lettura Finale di Misura errore carico reale risulta inferiore alla rispettiva lettura Iniziale di Misura errore carico reale, oppure nessuna lettura finale risulta superiore alla rispettiva lettura iniziale. ",""),""),"NESSUN CONTROLLO: Rapporto di ispezione cartaceo")</f>
        <v/>
      </c>
      <c r="K60" s="1280"/>
      <c r="L60" s="1281"/>
    </row>
    <row r="61" spans="1:12" s="476" customFormat="1" ht="28.5" customHeight="1" x14ac:dyDescent="0.25">
      <c r="A61" s="1268"/>
      <c r="B61" s="1277" t="s">
        <v>1140</v>
      </c>
      <c r="C61" s="1277"/>
      <c r="D61" s="1277"/>
      <c r="E61" s="1277"/>
      <c r="F61" s="1277"/>
      <c r="G61" s="1277"/>
      <c r="H61" s="1277"/>
      <c r="I61" s="478"/>
      <c r="J61" s="1280" t="str">
        <f>IF('DATI INGRESSO'!D5="X",IF(OR('RAPPORTO ISPEZIONE'!D180&lt;&gt;"",'RAPPORTO ISPEZIONE'!D203&lt;&gt;""),IF(IF('RAPPORTO ISPEZIONE'!F180&lt;&gt;'RAPPORTO ISPEZIONE'!F203,1,0)+IF('RAPPORTO ISPEZIONE'!G180&lt;&gt;'RAPPORTO ISPEZIONE'!G203,1,0)+IF('RAPPORTO ISPEZIONE'!H180&lt;&gt;'RAPPORTO ISPEZIONE'!H203,1,0)+IF('RAPPORTO ISPEZIONE'!I180&lt;&gt;'RAPPORTO ISPEZIONE'!I203,1,0)+IF('RAPPORTO ISPEZIONE'!J180&lt;&gt;'RAPPORTO ISPEZIONE'!J203,1,0)+IF('RAPPORTO ISPEZIONE'!K180&lt;&gt;'RAPPORTO ISPEZIONE'!K203,1,0)+IF('RAPPORTO ISPEZIONE'!L180&lt;&gt;'RAPPORTO ISPEZIONE'!L203,1,0)+IF('RAPPORTO ISPEZIONE'!M180&lt;&gt;'RAPPORTO ISPEZIONE'!M203,1,0)&lt;&gt;0,"ERRORE: Alcuni registri non sono uguali tra  Letture Finali e Finali di Misure errore carico reale. ",""),""),"NESSUN CONTROLLO: Rapporto di ispezione cartaceo")</f>
        <v/>
      </c>
      <c r="K61" s="1280"/>
      <c r="L61" s="1281"/>
    </row>
    <row r="62" spans="1:12" s="476" customFormat="1" ht="28.5" customHeight="1" x14ac:dyDescent="0.25">
      <c r="A62" s="1268"/>
      <c r="B62" s="1279" t="s">
        <v>1141</v>
      </c>
      <c r="C62" s="1279"/>
      <c r="D62" s="1279"/>
      <c r="E62" s="1279"/>
      <c r="F62" s="1279"/>
      <c r="G62" s="1279"/>
      <c r="H62" s="1279"/>
      <c r="I62" s="478"/>
      <c r="J62" s="1280" t="str">
        <f>IF('DATI INGRESSO'!D5="X",IF(OR('RAPPORTO ISPEZIONE'!D180&lt;&gt;"",'RAPPORTO ISPEZIONE'!D203&lt;&gt;""),IF(IF(OR(AND('RAPPORTO ISPEZIONE'!F181="",'RAPPORTO ISPEZIONE'!F204&lt;&gt;""),AND('RAPPORTO ISPEZIONE'!F181&lt;&gt;"",'RAPPORTO ISPEZIONE'!F204="")),1,0)+IF(OR(AND('RAPPORTO ISPEZIONE'!G181="",'RAPPORTO ISPEZIONE'!G204&lt;&gt;""),AND('RAPPORTO ISPEZIONE'!G181&lt;&gt;"",'RAPPORTO ISPEZIONE'!G204="")),1,0)+IF(OR(AND('RAPPORTO ISPEZIONE'!H181="",'RAPPORTO ISPEZIONE'!H204&lt;&gt;""),AND('RAPPORTO ISPEZIONE'!H181&lt;&gt;"",'RAPPORTO ISPEZIONE'!H204="")),1,0)+IF(OR(AND('RAPPORTO ISPEZIONE'!I181="",'RAPPORTO ISPEZIONE'!I204&lt;&gt;""),AND('RAPPORTO ISPEZIONE'!I181&lt;&gt;"",'RAPPORTO ISPEZIONE'!I204="")),1,0)+IF(OR(AND('RAPPORTO ISPEZIONE'!J181="",'RAPPORTO ISPEZIONE'!J204&lt;&gt;""),AND('RAPPORTO ISPEZIONE'!J181&lt;&gt;"",'RAPPORTO ISPEZIONE'!J204="")),1,0)+IF(OR(AND('RAPPORTO ISPEZIONE'!K181="",'RAPPORTO ISPEZIONE'!K204&lt;&gt;""),AND('RAPPORTO ISPEZIONE'!K181&lt;&gt;"",'RAPPORTO ISPEZIONE'!K204="")),1,0)+IF(OR(AND('RAPPORTO ISPEZIONE'!L181="",'RAPPORTO ISPEZIONE'!L204&lt;&gt;""),AND('RAPPORTO ISPEZIONE'!L181&lt;&gt;"",'RAPPORTO ISPEZIONE'!L204="")),1,0)+IF(OR(AND('RAPPORTO ISPEZIONE'!M181="",'RAPPORTO ISPEZIONE'!M204&lt;&gt;""),AND('RAPPORTO ISPEZIONE'!M181&lt;&gt;"",'RAPPORTO ISPEZIONE'!M204="")),1,0)&lt;&gt;0,"ERRORE: Alcune letture compilate in Letture Iniziali di Misure errore carico reale non risultano compilate in Letture Finali di Misure errore carico reale o viceversa. ",""),""),"NESSUN CONTROLLO: Rapporto di ispezione cartaceo")</f>
        <v/>
      </c>
      <c r="K62" s="1280"/>
      <c r="L62" s="1281"/>
    </row>
    <row r="63" spans="1:12" s="476" customFormat="1" ht="28.5" customHeight="1" x14ac:dyDescent="0.25">
      <c r="A63" s="1268"/>
      <c r="B63" s="1277" t="s">
        <v>1136</v>
      </c>
      <c r="C63" s="1277"/>
      <c r="D63" s="1277"/>
      <c r="E63" s="1277"/>
      <c r="F63" s="1277"/>
      <c r="G63" s="1277"/>
      <c r="H63" s="1277"/>
      <c r="I63" s="478"/>
      <c r="J63" s="1280" t="str">
        <f>IF('DATI INGRESSO'!D5="X",IF(OR(AND('RAPPORTO ISPEZIONE'!D214="",'RAPPORTO ISPEZIONE'!D233&lt;&gt;""),AND('RAPPORTO ISPEZIONE'!D214&lt;&gt;"",'RAPPORTO ISPEZIONE'!D233="")),"ERRORE: Una delle due date di Misure errore carico fittizio non risulta compilata. ",""),"NESSUN CONTROLLO: Rapporto di ispezione cartaceo")</f>
        <v/>
      </c>
      <c r="K63" s="1280"/>
      <c r="L63" s="1281"/>
    </row>
    <row r="64" spans="1:12" s="476" customFormat="1" ht="28.5" customHeight="1" x14ac:dyDescent="0.25">
      <c r="A64" s="1268"/>
      <c r="B64" s="1277" t="s">
        <v>1161</v>
      </c>
      <c r="C64" s="1277"/>
      <c r="D64" s="1277"/>
      <c r="E64" s="1277"/>
      <c r="F64" s="1277"/>
      <c r="G64" s="1277"/>
      <c r="H64" s="1277"/>
      <c r="I64" s="478"/>
      <c r="J64" s="1280" t="str">
        <f>IF('DATI INGRESSO'!D5="X",IF(OR(AND('RAPPORTO ISPEZIONE'!D214&lt;&gt;"",'RAPPORTO ISPEZIONE'!D215=""),AND('RAPPORTO ISPEZIONE'!D233&lt;&gt;"",'RAPPORTO ISPEZIONE'!D234="")),"ERRORE: Manca ora in inizio o fine Misure carico fittizio. ",""),"NESSUN CONTROLLO: Rapporto di ispezione cartaceo")</f>
        <v/>
      </c>
      <c r="K64" s="1280"/>
      <c r="L64" s="1281"/>
    </row>
    <row r="65" spans="1:12" s="476" customFormat="1" ht="28.5" customHeight="1" x14ac:dyDescent="0.25">
      <c r="A65" s="1268"/>
      <c r="B65" s="1277" t="s">
        <v>1158</v>
      </c>
      <c r="C65" s="1277"/>
      <c r="D65" s="1277"/>
      <c r="E65" s="1277"/>
      <c r="F65" s="1277"/>
      <c r="G65" s="1277"/>
      <c r="H65" s="1277"/>
      <c r="I65" s="478"/>
      <c r="J65" s="1280" t="str">
        <f>IF('DATI INGRESSO'!D5="X",IF(AND('RAPPORTO ISPEZIONE'!D214&lt;&gt;"",'RAPPORTO ISPEZIONE'!D233&lt;&gt;""),IF(('RAPPORTO ISPEZIONE'!D233+'RAPPORTO ISPEZIONE'!D234)&lt;=('RAPPORTO ISPEZIONE'!D214+'RAPPORTO ISPEZIONE'!D215),"ERRORE: Data/ora inizio Misure errore carico fittizio risulta successiva a data/ora fine Misure errore carico fittizio. ",""),""),"NESSUN CONTROLLO: Rapporto di ispezione cartaceo")</f>
        <v/>
      </c>
      <c r="K65" s="1280"/>
      <c r="L65" s="1281"/>
    </row>
    <row r="66" spans="1:12" s="476" customFormat="1" ht="28.5" customHeight="1" x14ac:dyDescent="0.25">
      <c r="A66" s="1268"/>
      <c r="B66" s="1277" t="s">
        <v>1142</v>
      </c>
      <c r="C66" s="1277"/>
      <c r="D66" s="1277"/>
      <c r="E66" s="1277"/>
      <c r="F66" s="1277"/>
      <c r="G66" s="1277"/>
      <c r="H66" s="1277"/>
      <c r="I66" s="478"/>
      <c r="J66" s="1280" t="str">
        <f>IF('DATI INGRESSO'!D5="X",IF(OR('RAPPORTO ISPEZIONE'!D214&lt;&gt;"",'RAPPORTO ISPEZIONE'!D233&lt;&gt;""),CONCATENATE(IF(COUNTIF('RAPPORTO ISPEZIONE'!F214:M214,"")=8,"ERRORE: Non inserito alcun registro in Letture Iniziali di Misure errore carico fittizio. ",""),IF(COUNTIF('RAPPORTO ISPEZIONE'!F233:M233,"")=8,"ERRORE: Non inserito alcun registro in Letture Finali di Misure errore carico fittizio. ","")),""),"NESSUN CONTROLLO: Rapporto di ispezione cartaceo")</f>
        <v/>
      </c>
      <c r="K66" s="1280"/>
      <c r="L66" s="1281"/>
    </row>
    <row r="67" spans="1:12" s="476" customFormat="1" ht="28.5" customHeight="1" x14ac:dyDescent="0.25">
      <c r="A67" s="1268"/>
      <c r="B67" s="1277" t="s">
        <v>1143</v>
      </c>
      <c r="C67" s="1277"/>
      <c r="D67" s="1277"/>
      <c r="E67" s="1277"/>
      <c r="F67" s="1277"/>
      <c r="G67" s="1277"/>
      <c r="H67" s="1277"/>
      <c r="I67" s="478"/>
      <c r="J67" s="1280" t="str">
        <f>IF('DATI INGRESSO'!D5="X",IF(OR('RAPPORTO ISPEZIONE'!D214&lt;&gt;"",'RAPPORTO ISPEZIONE'!D233&lt;&gt;""),CONCATENATE(IF(COUNTIF('RAPPORTO ISPEZIONE'!F215:M215,"")=8,"ERRORE: Non inserita alcuna lettura iniziale in Misure errore carico fittizio. ",""),IF(COUNTIF('RAPPORTO ISPEZIONE'!F234:M234,"")=8,"ERRORE: Non inserita alcuna lettura finale in Misure errore carico fittizio. ","")),""),"NESSUN CONTROLLO: Rapporto di ispezione cartaceo")</f>
        <v/>
      </c>
      <c r="K67" s="1280"/>
      <c r="L67" s="1281"/>
    </row>
    <row r="68" spans="1:12" s="476" customFormat="1" ht="28.5" customHeight="1" x14ac:dyDescent="0.25">
      <c r="A68" s="1268"/>
      <c r="B68" s="1277" t="s">
        <v>1144</v>
      </c>
      <c r="C68" s="1277"/>
      <c r="D68" s="1277"/>
      <c r="E68" s="1277"/>
      <c r="F68" s="1277"/>
      <c r="G68" s="1277"/>
      <c r="H68" s="1277"/>
      <c r="I68" s="478"/>
      <c r="J68" s="1280" t="str">
        <f>IF('DATI INGRESSO'!D5="X",IF(OR('RAPPORTO ISPEZIONE'!D214&lt;&gt;"",'RAPPORTO ISPEZIONE'!D233&lt;&gt;""),IF(IF(AND('RAPPORTO ISPEZIONE'!F215&lt;&gt;"",'RAPPORTO ISPEZIONE'!F234&lt;&gt;""),IF('RAPPORTO ISPEZIONE'!F234-'RAPPORTO ISPEZIONE'!F215&lt;0,1,0))+IF(AND('RAPPORTO ISPEZIONE'!G215&lt;&gt;"",'RAPPORTO ISPEZIONE'!G234&lt;&gt;""),IF('RAPPORTO ISPEZIONE'!G234-'RAPPORTO ISPEZIONE'!G215&lt;0,1,0))+IF(AND('RAPPORTO ISPEZIONE'!H215&lt;&gt;"",'RAPPORTO ISPEZIONE'!H234&lt;&gt;""),IF('RAPPORTO ISPEZIONE'!H234-'RAPPORTO ISPEZIONE'!H215&lt;0,1,0))+IF(AND('RAPPORTO ISPEZIONE'!I215&lt;&gt;"",'RAPPORTO ISPEZIONE'!I234&lt;&gt;""),IF('RAPPORTO ISPEZIONE'!I234-'RAPPORTO ISPEZIONE'!I215&lt;0,1,0))+IF(AND('RAPPORTO ISPEZIONE'!J215&lt;&gt;"",'RAPPORTO ISPEZIONE'!J234&lt;&gt;""),IF('RAPPORTO ISPEZIONE'!J234-'RAPPORTO ISPEZIONE'!J215&lt;0,1,0))+IF(AND('RAPPORTO ISPEZIONE'!K215&lt;&gt;"",'RAPPORTO ISPEZIONE'!K234&lt;&gt;""),IF('RAPPORTO ISPEZIONE'!K234-'RAPPORTO ISPEZIONE'!K215&lt;0,1,0))+IF(AND('RAPPORTO ISPEZIONE'!L215&lt;&gt;"",'RAPPORTO ISPEZIONE'!L234&lt;&gt;""),IF('RAPPORTO ISPEZIONE'!L234-'RAPPORTO ISPEZIONE'!L215&lt;0,1,0))+IF(AND('RAPPORTO ISPEZIONE'!M215&lt;&gt;"",'RAPPORTO ISPEZIONE'!M234&lt;&gt;""),IF('RAPPORTO ISPEZIONE'!M234-'RAPPORTO ISPEZIONE'!M215&lt;0,1,0))&lt;&gt;0,"ERRORE: Alcune Letture Finali in Misure errore carico fittizio sono inferiori alle Letture Iniziali in Misure errore carico fittizio. ",""),""),"NESSUN CONTROLLO: Rapporto di ispezione cartaceo")</f>
        <v/>
      </c>
      <c r="K68" s="1280"/>
      <c r="L68" s="1281"/>
    </row>
    <row r="69" spans="1:12" s="476" customFormat="1" ht="39.75" customHeight="1" x14ac:dyDescent="0.25">
      <c r="A69" s="1268"/>
      <c r="B69" s="1277" t="s">
        <v>1149</v>
      </c>
      <c r="C69" s="1277"/>
      <c r="D69" s="1277"/>
      <c r="E69" s="1277"/>
      <c r="F69" s="1277"/>
      <c r="G69" s="1277"/>
      <c r="H69" s="1277"/>
      <c r="I69" s="478"/>
      <c r="J69" s="1280" t="str">
        <f>IF('DATI INGRESSO'!D5="X",IF(OR('RAPPORTO ISPEZIONE'!D214&lt;&gt;"",'RAPPORTO ISPEZIONE'!D233&lt;&gt;""),IF(('RAPPORTO ISPEZIONE'!F234+'RAPPORTO ISPEZIONE'!G234+'RAPPORTO ISPEZIONE'!H234+'RAPPORTO ISPEZIONE'!I234+'RAPPORTO ISPEZIONE'!J234+'RAPPORTO ISPEZIONE'!K234+'RAPPORTO ISPEZIONE'!L234+'RAPPORTO ISPEZIONE'!M234)&lt;=('RAPPORTO ISPEZIONE'!F215+'RAPPORTO ISPEZIONE'!G215+'RAPPORTO ISPEZIONE'!H215+'RAPPORTO ISPEZIONE'!I215+'RAPPORTO ISPEZIONE'!J215+'RAPPORTO ISPEZIONE'!K215+'RAPPORTO ISPEZIONE'!L215+'RAPPORTO ISPEZIONE'!M215),"ERRORE: Qualche lettura Finale di Misura errore carico fittizio risulta inferiore alla rispettiva lettura Iniziale di Misura errore carico fittizio, oppure nessuna lettura finale risulta superiore alla rispettiva lettura iniziale. ",""),""),"NESSUN CONTROLLO: Rapporto di ispezione cartaceo")</f>
        <v/>
      </c>
      <c r="K69" s="1280"/>
      <c r="L69" s="1281"/>
    </row>
    <row r="70" spans="1:12" s="476" customFormat="1" ht="28.5" customHeight="1" x14ac:dyDescent="0.25">
      <c r="A70" s="1268"/>
      <c r="B70" s="1277" t="s">
        <v>1145</v>
      </c>
      <c r="C70" s="1277"/>
      <c r="D70" s="1277"/>
      <c r="E70" s="1277"/>
      <c r="F70" s="1277"/>
      <c r="G70" s="1277"/>
      <c r="H70" s="1277"/>
      <c r="I70" s="478"/>
      <c r="J70" s="1280" t="str">
        <f>IF('DATI INGRESSO'!D5="X",IF(OR('RAPPORTO ISPEZIONE'!D214&lt;&gt;"",'RAPPORTO ISPEZIONE'!D233&lt;&gt;""),IF(IF('RAPPORTO ISPEZIONE'!F214&lt;&gt;'RAPPORTO ISPEZIONE'!F233,1,0)+IF('RAPPORTO ISPEZIONE'!G214&lt;&gt;'RAPPORTO ISPEZIONE'!G233,1,0)+IF('RAPPORTO ISPEZIONE'!H214&lt;&gt;'RAPPORTO ISPEZIONE'!H233,1,0)+IF('RAPPORTO ISPEZIONE'!I214&lt;&gt;'RAPPORTO ISPEZIONE'!I233,1,0)+IF('RAPPORTO ISPEZIONE'!J214&lt;&gt;'RAPPORTO ISPEZIONE'!J233,1,0)+IF('RAPPORTO ISPEZIONE'!K214&lt;&gt;'RAPPORTO ISPEZIONE'!K233,1,0)+IF('RAPPORTO ISPEZIONE'!L214&lt;&gt;'RAPPORTO ISPEZIONE'!L233,1,0)+IF('RAPPORTO ISPEZIONE'!M214&lt;&gt;'RAPPORTO ISPEZIONE'!M233,1,0)&lt;&gt;0,"ERRORE: Alcuni registri non sono uguali tra  Letture Iniziali e Finali di Misure errore carico fittizio. ",""),""),"NESSUN CONTROLLO: Rapporto di ispezione cartaceo")</f>
        <v/>
      </c>
      <c r="K70" s="1280"/>
      <c r="L70" s="1281"/>
    </row>
    <row r="71" spans="1:12" s="476" customFormat="1" ht="28.5" customHeight="1" x14ac:dyDescent="0.25">
      <c r="A71" s="1268"/>
      <c r="B71" s="1277" t="s">
        <v>1146</v>
      </c>
      <c r="C71" s="1277"/>
      <c r="D71" s="1277"/>
      <c r="E71" s="1277"/>
      <c r="F71" s="1277"/>
      <c r="G71" s="1277"/>
      <c r="H71" s="1277"/>
      <c r="I71" s="478"/>
      <c r="J71" s="1280" t="str">
        <f>IF('DATI INGRESSO'!D5="X",IF(OR('RAPPORTO ISPEZIONE'!D214&lt;&gt;"",'RAPPORTO ISPEZIONE'!D233&lt;&gt;""),IF(IF(OR(AND('RAPPORTO ISPEZIONE'!F215="",'RAPPORTO ISPEZIONE'!F234&lt;&gt;""),AND('RAPPORTO ISPEZIONE'!F215&lt;&gt;"",'RAPPORTO ISPEZIONE'!F234="")),1,0)+IF(OR(AND('RAPPORTO ISPEZIONE'!G215="",'RAPPORTO ISPEZIONE'!G234&lt;&gt;""),AND('RAPPORTO ISPEZIONE'!G215&lt;&gt;"",'RAPPORTO ISPEZIONE'!G234="")),1,0)+IF(OR(AND('RAPPORTO ISPEZIONE'!H215="",'RAPPORTO ISPEZIONE'!H234&lt;&gt;""),AND('RAPPORTO ISPEZIONE'!H215&lt;&gt;"",'RAPPORTO ISPEZIONE'!H234="")),1,0)+IF(OR(AND('RAPPORTO ISPEZIONE'!I215="",'RAPPORTO ISPEZIONE'!I234&lt;&gt;""),AND('RAPPORTO ISPEZIONE'!I215&lt;&gt;"",'RAPPORTO ISPEZIONE'!I234="")),1,0)+IF(OR(AND('RAPPORTO ISPEZIONE'!J215="",'RAPPORTO ISPEZIONE'!J234&lt;&gt;""),AND('RAPPORTO ISPEZIONE'!J215&lt;&gt;"",'RAPPORTO ISPEZIONE'!J234="")),1,0)+IF(OR(AND('RAPPORTO ISPEZIONE'!K215="",'RAPPORTO ISPEZIONE'!K234&lt;&gt;""),AND('RAPPORTO ISPEZIONE'!K215&lt;&gt;"",'RAPPORTO ISPEZIONE'!K234="")),1,0)+IF(OR(AND('RAPPORTO ISPEZIONE'!L215="",'RAPPORTO ISPEZIONE'!L234&lt;&gt;""),AND('RAPPORTO ISPEZIONE'!L215&lt;&gt;"",'RAPPORTO ISPEZIONE'!L234="")),1,0)+IF(OR(AND('RAPPORTO ISPEZIONE'!M215="",'RAPPORTO ISPEZIONE'!M234&lt;&gt;""),AND('RAPPORTO ISPEZIONE'!M215&lt;&gt;"",'RAPPORTO ISPEZIONE'!M234="")),1,0)&lt;&gt;0,"ERRORE: Alcune letture compilate in Letture Iniziali di Misure errore carico fittizio non risultano compilate in Letture Finali di Misure errore carico fittizio o viceversa. ",""),""),"NESSUN CONTROLLO: Rapporto di ispezione cartaceo")</f>
        <v/>
      </c>
      <c r="K71" s="1280"/>
      <c r="L71" s="1281"/>
    </row>
    <row r="72" spans="1:12" s="476" customFormat="1" ht="28.5" customHeight="1" x14ac:dyDescent="0.25">
      <c r="A72" s="1268"/>
      <c r="B72" s="1277" t="s">
        <v>1162</v>
      </c>
      <c r="C72" s="1277"/>
      <c r="D72" s="1277"/>
      <c r="E72" s="1277"/>
      <c r="F72" s="1277"/>
      <c r="G72" s="1277"/>
      <c r="H72" s="1277"/>
      <c r="I72" s="478"/>
      <c r="J72" s="1280" t="str">
        <f>IF('DATI INGRESSO'!D5="X",IF(OR('RAPPORTO ISPEZIONE'!D180&lt;&gt;"",'RAPPORTO ISPEZIONE'!D203&lt;&gt;""),IF(OR(TYPE('RAPPORTO ISPEZIONE'!B185)&lt;&gt;1,TYPE('RAPPORTO ISPEZIONE'!C185)&lt;&gt;1,TYPE('RAPPORTO ISPEZIONE'!D185)&lt;&gt;1,TYPE('RAPPORTO ISPEZIONE'!B188)&lt;&gt;1,TYPE('RAPPORTO ISPEZIONE'!C188)&lt;&gt;1,TYPE('RAPPORTO ISPEZIONE'!D188)&lt;&gt;1,TYPE('RAPPORTO ISPEZIONE'!B191)&lt;&gt;1,TYPE('RAPPORTO ISPEZIONE'!C191)&lt;&gt;1,TYPE('RAPPORTO ISPEZIONE'!D191)&lt;&gt;1,TYPE('RAPPORTO ISPEZIONE'!B194)&lt;&gt;1,TYPE('RAPPORTO ISPEZIONE'!C194)&lt;&gt;1,TYPE('RAPPORTO ISPEZIONE'!D194)&lt;&gt;1,TYPE('RAPPORTO ISPEZIONE'!B197)&lt;&gt;1,TYPE('RAPPORTO ISPEZIONE'!C197)&lt;&gt;1,TYPE('RAPPORTO ISPEZIONE'!D197)&lt;&gt;1,TYPE('RAPPORTO ISPEZIONE'!B200)&lt;&gt;1,TYPE('RAPPORTO ISPEZIONE'!C200)&lt;&gt;1,TYPE('RAPPORTO ISPEZIONE'!D200)&lt;&gt;1),"ERRORE: Esiste un campo tensione inserito in Misure carico reale che non è di tipo numerico. ",""),""),"NESSUN CONTROLLO: Rapporto di ispezione cartaceo")</f>
        <v/>
      </c>
      <c r="K72" s="1280"/>
      <c r="L72" s="1281"/>
    </row>
    <row r="73" spans="1:12" s="476" customFormat="1" ht="28.5" customHeight="1" x14ac:dyDescent="0.25">
      <c r="A73" s="1268"/>
      <c r="B73" s="1277" t="s">
        <v>1163</v>
      </c>
      <c r="C73" s="1277"/>
      <c r="D73" s="1277"/>
      <c r="E73" s="1277"/>
      <c r="F73" s="1277"/>
      <c r="G73" s="1277"/>
      <c r="H73" s="1277"/>
      <c r="I73" s="478"/>
      <c r="J73" s="1280" t="str">
        <f>IF('DATI INGRESSO'!D5="X",IF(OR('RAPPORTO ISPEZIONE'!D180&lt;&gt;"",'RAPPORTO ISPEZIONE'!D203&lt;&gt;""),IF(OR(TYPE('RAPPORTO ISPEZIONE'!B186)&lt;&gt;1,TYPE('RAPPORTO ISPEZIONE'!C186)&lt;&gt;1,TYPE('RAPPORTO ISPEZIONE'!D186)&lt;&gt;1,TYPE('RAPPORTO ISPEZIONE'!B189)&lt;&gt;1,TYPE('RAPPORTO ISPEZIONE'!C189)&lt;&gt;1,TYPE('RAPPORTO ISPEZIONE'!D189)&lt;&gt;1,TYPE('RAPPORTO ISPEZIONE'!B192)&lt;&gt;1,TYPE('RAPPORTO ISPEZIONE'!C192)&lt;&gt;1,TYPE('RAPPORTO ISPEZIONE'!D192)&lt;&gt;1,TYPE('RAPPORTO ISPEZIONE'!B195)&lt;&gt;1,TYPE('RAPPORTO ISPEZIONE'!C195)&lt;&gt;1,TYPE('RAPPORTO ISPEZIONE'!D195)&lt;&gt;1,TYPE('RAPPORTO ISPEZIONE'!B198)&lt;&gt;1,TYPE('RAPPORTO ISPEZIONE'!C198)&lt;&gt;1,TYPE('RAPPORTO ISPEZIONE'!D198)&lt;&gt;1,TYPE('RAPPORTO ISPEZIONE'!B201)&lt;&gt;1,TYPE('RAPPORTO ISPEZIONE'!C201)&lt;&gt;1,TYPE('RAPPORTO ISPEZIONE'!D201)&lt;&gt;1),"ERRORE: Esiste un campo corrente inserito in Misure carico reale che non è di tipo numerico. ",""),""),"NESSUN CONTROLLO: Rapporto di ispezione cartaceo")</f>
        <v/>
      </c>
      <c r="K73" s="1280"/>
      <c r="L73" s="1281"/>
    </row>
    <row r="74" spans="1:12" s="476" customFormat="1" ht="28.5" customHeight="1" x14ac:dyDescent="0.25">
      <c r="A74" s="1268"/>
      <c r="B74" s="1277" t="s">
        <v>1164</v>
      </c>
      <c r="C74" s="1277"/>
      <c r="D74" s="1277"/>
      <c r="E74" s="1277"/>
      <c r="F74" s="1277"/>
      <c r="G74" s="1277"/>
      <c r="H74" s="1277"/>
      <c r="I74" s="478"/>
      <c r="J74" s="1280" t="str">
        <f>IF('DATI INGRESSO'!D5="X",IF(OR('RAPPORTO ISPEZIONE'!D180&lt;&gt;"",'RAPPORTO ISPEZIONE'!D203&lt;&gt;""),IF(OR(TYPE('RAPPORTO ISPEZIONE'!F184)&lt;&gt;1,TYPE('RAPPORTO ISPEZIONE'!F187)&lt;&gt;1,TYPE('RAPPORTO ISPEZIONE'!F190)&lt;&gt;1,TYPE('RAPPORTO ISPEZIONE'!F193)&lt;&gt;1,TYPE('RAPPORTO ISPEZIONE'!F196)&lt;&gt;1,TYPE('RAPPORTO ISPEZIONE'!F199)&lt;&gt;1,TYPE('RAPPORTO ISPEZIONE'!J184)&lt;&gt;1,TYPE('RAPPORTO ISPEZIONE'!J187)&lt;&gt;1,TYPE('RAPPORTO ISPEZIONE'!J190)&lt;&gt;1,TYPE('RAPPORTO ISPEZIONE'!J193)&lt;&gt;1,TYPE('RAPPORTO ISPEZIONE'!J196)&lt;&gt;1,TYPE('RAPPORTO ISPEZIONE'!F199)&lt;&gt;1),"ERRORE: Esiste un campo potenza attiva inserito in Misure carico reale che non è di tipo numerico. ",""),""),"NESSUN CONTROLLO: Rapporto di ispezione cartaceo")</f>
        <v/>
      </c>
      <c r="K74" s="1280"/>
      <c r="L74" s="1281"/>
    </row>
    <row r="75" spans="1:12" s="476" customFormat="1" ht="28.5" customHeight="1" x14ac:dyDescent="0.25">
      <c r="A75" s="1268"/>
      <c r="B75" s="1277" t="s">
        <v>1206</v>
      </c>
      <c r="C75" s="1277"/>
      <c r="D75" s="1277"/>
      <c r="E75" s="1277"/>
      <c r="F75" s="1277"/>
      <c r="G75" s="1277"/>
      <c r="H75" s="1277"/>
      <c r="I75" s="478"/>
      <c r="J75" s="1282" t="str">
        <f>IF('DATI INGRESSO'!D5="X",IF(OR('RAPPORTO ISPEZIONE'!D180&lt;&gt;"",'RAPPORTO ISPEZIONE'!D203&lt;&gt;""),IF(OR(TYPE('RAPPORTO ISPEZIONE'!H184)&lt;&gt;1,TYPE('RAPPORTO ISPEZIONE'!H187)&lt;&gt;1,TYPE('RAPPORTO ISPEZIONE'!H190)&lt;&gt;1,TYPE('RAPPORTO ISPEZIONE'!H193)&lt;&gt;1,TYPE('RAPPORTO ISPEZIONE'!H196)&lt;&gt;1,TYPE('RAPPORTO ISPEZIONE'!H199)&lt;&gt;1,TYPE('RAPPORTO ISPEZIONE'!K184)&lt;&gt;1,TYPE('RAPPORTO ISPEZIONE'!K187)&lt;&gt;1,TYPE('RAPPORTO ISPEZIONE'!K190)&lt;&gt;1,TYPE('RAPPORTO ISPEZIONE'!K193)&lt;&gt;1,TYPE('RAPPORTO ISPEZIONE'!K196)&lt;&gt;1,TYPE('RAPPORTO ISPEZIONE'!K199)&lt;&gt;1),"ERRORE: Esiste un campo di fattore di potenza inserito in Misure carico reale che non è di tipo numerico. ",""),""),"NESSUN CONTROLLO: Rapporto di ispezione cartaceo")</f>
        <v/>
      </c>
      <c r="K75" s="1282"/>
      <c r="L75" s="1283"/>
    </row>
    <row r="76" spans="1:12" s="476" customFormat="1" ht="28.5" customHeight="1" x14ac:dyDescent="0.25">
      <c r="A76" s="1268"/>
      <c r="B76" s="1277" t="s">
        <v>1207</v>
      </c>
      <c r="C76" s="1277"/>
      <c r="D76" s="1277"/>
      <c r="E76" s="1277"/>
      <c r="F76" s="1277"/>
      <c r="G76" s="1277"/>
      <c r="H76" s="1277"/>
      <c r="I76" s="478"/>
      <c r="J76" s="1282" t="str">
        <f>IF('DATI INGRESSO'!D5="X",IF(OR('RAPPORTO ISPEZIONE'!D180&lt;&gt;"",'RAPPORTO ISPEZIONE'!D203&lt;&gt;""),IF(OR('RAPPORTO ISPEZIONE'!H184&lt;0,'RAPPORTO ISPEZIONE'!H187&lt;0,'RAPPORTO ISPEZIONE'!H190&lt;0,'RAPPORTO ISPEZIONE'!H193&lt;0,'RAPPORTO ISPEZIONE'!H196&lt;0,'RAPPORTO ISPEZIONE'!H199&lt;0,'RAPPORTO ISPEZIONE'!K184&lt;0,'RAPPORTO ISPEZIONE'!K187&lt;0,'RAPPORTO ISPEZIONE'!K190&lt;0,'RAPPORTO ISPEZIONE'!K193&lt;0,'RAPPORTO ISPEZIONE'!K196&lt;0,'RAPPORTO ISPEZIONE'!K199&lt;0),"ERRORE: Inserito almeno un valore di cos_fi e/o sen_fi con valore negativo in Misure a carico reale ",""),""),"NESSUN CONTROLLO: Rapporto di ispezione cartaceo")</f>
        <v/>
      </c>
      <c r="K76" s="1282"/>
      <c r="L76" s="1283"/>
    </row>
    <row r="77" spans="1:12" s="476" customFormat="1" ht="28.5" customHeight="1" x14ac:dyDescent="0.25">
      <c r="A77" s="1268"/>
      <c r="B77" s="1277" t="s">
        <v>1208</v>
      </c>
      <c r="C77" s="1277"/>
      <c r="D77" s="1277"/>
      <c r="E77" s="1277"/>
      <c r="F77" s="1277"/>
      <c r="G77" s="1277"/>
      <c r="H77" s="1277"/>
      <c r="I77" s="478"/>
      <c r="J77" s="1282" t="str">
        <f>IF('DATI INGRESSO'!D5="X",IF(OR('RAPPORTO ISPEZIONE'!D180&lt;&gt;"",'RAPPORTO ISPEZIONE'!D203&lt;&gt;""),IF(OR(ABS('RAPPORTO ISPEZIONE'!H184)&gt;1,ABS('RAPPORTO ISPEZIONE'!H187)&gt;1,ABS('RAPPORTO ISPEZIONE'!H190)&gt;1,ABS('RAPPORTO ISPEZIONE'!H193)&gt;1,ABS('RAPPORTO ISPEZIONE'!H196)&gt;1,ABS('RAPPORTO ISPEZIONE'!H199)&gt;1,ABS('RAPPORTO ISPEZIONE'!K184)&gt;1,ABS('RAPPORTO ISPEZIONE'!K187)&gt;1,ABS('RAPPORTO ISPEZIONE'!K190)&gt;1,ABS('RAPPORTO ISPEZIONE'!K193)&gt;1,ABS('RAPPORTO ISPEZIONE'!K196)&gt;1,ABS('RAPPORTO ISPEZIONE'!K199)&gt;1),"ERRORE: Inserito almeno un valore di cos_fi e/o sen_fi con valore assoluto maggiore di 1 in Misure carico reale ",""),""),"NESSUN CONTROLLO: Rapporto di ispezione cartaceo")</f>
        <v/>
      </c>
      <c r="K77" s="1282"/>
      <c r="L77" s="1283"/>
    </row>
    <row r="78" spans="1:12" s="476" customFormat="1" ht="28.5" customHeight="1" x14ac:dyDescent="0.25">
      <c r="A78" s="1268"/>
      <c r="B78" s="1277" t="s">
        <v>1165</v>
      </c>
      <c r="C78" s="1277"/>
      <c r="D78" s="1277"/>
      <c r="E78" s="1277"/>
      <c r="F78" s="1277"/>
      <c r="G78" s="1277"/>
      <c r="H78" s="1277"/>
      <c r="I78" s="478"/>
      <c r="J78" s="1280" t="str">
        <f>IF('DATI INGRESSO'!D5="X",IF(OR('RAPPORTO ISPEZIONE'!D180&lt;&gt;"",'RAPPORTO ISPEZIONE'!D203&lt;&gt;""),IF(OR(TYPE('RAPPORTO ISPEZIONE'!I184)&lt;&gt;1,TYPE('RAPPORTO ISPEZIONE'!I185)&lt;&gt;1,TYPE('RAPPORTO ISPEZIONE'!I186)&lt;&gt;1,TYPE('RAPPORTO ISPEZIONE'!I187)&lt;&gt;1,TYPE('RAPPORTO ISPEZIONE'!I188)&lt;&gt;1,TYPE('RAPPORTO ISPEZIONE'!I189)&lt;&gt;1,TYPE('RAPPORTO ISPEZIONE'!I190)&lt;&gt;1,TYPE('RAPPORTO ISPEZIONE'!I191)&lt;&gt;1,TYPE('RAPPORTO ISPEZIONE'!I192)&lt;&gt;1,TYPE('RAPPORTO ISPEZIONE'!I193)&lt;&gt;1,TYPE('RAPPORTO ISPEZIONE'!I194)&lt;&gt;1,TYPE('RAPPORTO ISPEZIONE'!I195)&lt;&gt;1,TYPE('RAPPORTO ISPEZIONE'!I196)&lt;&gt;1,TYPE('RAPPORTO ISPEZIONE'!I197)&lt;&gt;1,TYPE('RAPPORTO ISPEZIONE'!I198)&lt;&gt;1,TYPE('RAPPORTO ISPEZIONE'!I199)&lt;&gt;1,TYPE('RAPPORTO ISPEZIONE'!I200)&lt;&gt;1,TYPE('RAPPORTO ISPEZIONE'!I201)&lt;&gt;1,TYPE('RAPPORTO ISPEZIONE'!L184)&lt;&gt;1,TYPE('RAPPORTO ISPEZIONE'!L185)&lt;&gt;1,TYPE('RAPPORTO ISPEZIONE'!L186)&lt;&gt;1,TYPE('RAPPORTO ISPEZIONE'!L187)&lt;&gt;1,TYPE('RAPPORTO ISPEZIONE'!L188)&lt;&gt;1,TYPE('RAPPORTO ISPEZIONE'!L189)&lt;&gt;1,TYPE('RAPPORTO ISPEZIONE'!L190)&lt;&gt;1,TYPE('RAPPORTO ISPEZIONE'!L191)&lt;&gt;1,TYPE('RAPPORTO ISPEZIONE'!L192)&lt;&gt;1,TYPE('RAPPORTO ISPEZIONE'!L193)&lt;&gt;1,TYPE('RAPPORTO ISPEZIONE'!L194)&lt;&gt;1,TYPE('RAPPORTO ISPEZIONE'!L195)&lt;&gt;1,TYPE('RAPPORTO ISPEZIONE'!L196)&lt;&gt;1,TYPE('RAPPORTO ISPEZIONE'!L197)&lt;&gt;1,TYPE('RAPPORTO ISPEZIONE'!L198)&lt;&gt;1,TYPE('RAPPORTO ISPEZIONE'!L199)&lt;&gt;1,TYPE('RAPPORTO ISPEZIONE'!L200)&lt;&gt;1,TYPE('RAPPORTO ISPEZIONE'!L201)&lt;&gt;1,TYPE('RAPPORTO ISPEZIONE'!M184)&lt;&gt;1,TYPE('RAPPORTO ISPEZIONE'!M185)&lt;&gt;1,TYPE('RAPPORTO ISPEZIONE'!M186)&lt;&gt;1,TYPE('RAPPORTO ISPEZIONE'!M187)&lt;&gt;1,TYPE('RAPPORTO ISPEZIONE'!M188)&lt;&gt;1,TYPE('RAPPORTO ISPEZIONE'!M189)&lt;&gt;1,TYPE('RAPPORTO ISPEZIONE'!M190)&lt;&gt;1,TYPE('RAPPORTO ISPEZIONE'!M191)&lt;&gt;1,TYPE('RAPPORTO ISPEZIONE'!M192)&lt;&gt;1,TYPE('RAPPORTO ISPEZIONE'!M193)&lt;&gt;1,TYPE('RAPPORTO ISPEZIONE'!M194)&lt;&gt;1,TYPE('RAPPORTO ISPEZIONE'!M195)&lt;&gt;1,TYPE('RAPPORTO ISPEZIONE'!M196)&lt;&gt;1,TYPE('RAPPORTO ISPEZIONE'!M197)&lt;&gt;1,TYPE('RAPPORTO ISPEZIONE'!M198)&lt;&gt;1,TYPE('RAPPORTO ISPEZIONE'!M199)&lt;&gt;1,TYPE('RAPPORTO ISPEZIONE'!M200)&lt;&gt;1,TYPE('RAPPORTO ISPEZIONE'!M201)&lt;&gt;1),"ERRORE: Esiste un campo di errore inserito in Misure carico reale che non è di tipo numerico. ",""),""),"NESSUN CONTROLLO: Rapporto di ispezione cartaceo")</f>
        <v/>
      </c>
      <c r="K78" s="1280"/>
      <c r="L78" s="1281"/>
    </row>
    <row r="79" spans="1:12" s="476" customFormat="1" ht="28.5" customHeight="1" x14ac:dyDescent="0.25">
      <c r="A79" s="1268"/>
      <c r="B79" s="1277" t="s">
        <v>1166</v>
      </c>
      <c r="C79" s="1277"/>
      <c r="D79" s="1277"/>
      <c r="E79" s="1277"/>
      <c r="F79" s="1277"/>
      <c r="G79" s="1277"/>
      <c r="H79" s="1277"/>
      <c r="I79" s="478"/>
      <c r="J79" s="1280" t="str">
        <f>IF('DATI INGRESSO'!D5="X",IF(OR('RAPPORTO ISPEZIONE'!D214&lt;&gt;"",'RAPPORTO ISPEZIONE'!D233&lt;&gt;""),IF(TYPE('RAPPORTO ISPEZIONE'!D211)&lt;&gt;1,"ERRORE: Tensione di prova inserita in Misure carico fittizio che non è di tipo numerico. ",""),""),"NESSUN CONTROLLO: Rapporto di ispezione cartaceo")</f>
        <v/>
      </c>
      <c r="K79" s="1280"/>
      <c r="L79" s="1281"/>
    </row>
    <row r="80" spans="1:12" s="476" customFormat="1" ht="28.5" customHeight="1" x14ac:dyDescent="0.25">
      <c r="A80" s="1268"/>
      <c r="B80" s="1277" t="s">
        <v>1167</v>
      </c>
      <c r="C80" s="1277"/>
      <c r="D80" s="1277"/>
      <c r="E80" s="1277"/>
      <c r="F80" s="1277"/>
      <c r="G80" s="1277"/>
      <c r="H80" s="1277"/>
      <c r="I80" s="478"/>
      <c r="J80" s="1280" t="str">
        <f>IF('DATI INGRESSO'!D5="X",IF(OR('RAPPORTO ISPEZIONE'!D214&lt;&gt;"",'RAPPORTO ISPEZIONE'!D233&lt;&gt;""),IF(OR(TYPE('RAPPORTO ISPEZIONE'!F221)&lt;&gt;1,TYPE('RAPPORTO ISPEZIONE'!F222)&lt;&gt;1,TYPE('RAPPORTO ISPEZIONE'!F223)&lt;&gt;1,TYPE('RAPPORTO ISPEZIONE'!F224)&lt;&gt;1,TYPE('RAPPORTO ISPEZIONE'!F225)&lt;&gt;1,TYPE('RAPPORTO ISPEZIONE'!F226)&lt;&gt;1,TYPE('RAPPORTO ISPEZIONE'!F227)&lt;&gt;1,TYPE('RAPPORTO ISPEZIONE'!F228)&lt;&gt;1,TYPE('RAPPORTO ISPEZIONE'!F229)&lt;&gt;1,TYPE('RAPPORTO ISPEZIONE'!F230)&lt;&gt;1,TYPE('RAPPORTO ISPEZIONE'!F231)&lt;&gt;1,TYPE('RAPPORTO ISPEZIONE'!G221)&lt;&gt;1,TYPE('RAPPORTO ISPEZIONE'!G222)&lt;&gt;1,TYPE('RAPPORTO ISPEZIONE'!G223)&lt;&gt;1,TYPE('RAPPORTO ISPEZIONE'!G224)&lt;&gt;1,TYPE('RAPPORTO ISPEZIONE'!G225)&lt;&gt;1,TYPE('RAPPORTO ISPEZIONE'!G226)&lt;&gt;1,TYPE('RAPPORTO ISPEZIONE'!G227)&lt;&gt;1,TYPE('RAPPORTO ISPEZIONE'!G228)&lt;&gt;1,TYPE('RAPPORTO ISPEZIONE'!G229)&lt;&gt;1,TYPE('RAPPORTO ISPEZIONE'!G230)&lt;&gt;1,TYPE('RAPPORTO ISPEZIONE'!G231)&lt;&gt;1,TYPE('RAPPORTO ISPEZIONE'!H221)&lt;&gt;1,TYPE('RAPPORTO ISPEZIONE'!H222)&lt;&gt;1,TYPE('RAPPORTO ISPEZIONE'!H223)&lt;&gt;1,TYPE('RAPPORTO ISPEZIONE'!H224)&lt;&gt;1,TYPE('RAPPORTO ISPEZIONE'!H225)&lt;&gt;1,TYPE('RAPPORTO ISPEZIONE'!H226)&lt;&gt;1,TYPE('RAPPORTO ISPEZIONE'!H227)&lt;&gt;1,TYPE('RAPPORTO ISPEZIONE'!H228)&lt;&gt;1,TYPE('RAPPORTO ISPEZIONE'!H229)&lt;&gt;1,TYPE('RAPPORTO ISPEZIONE'!H230)&lt;&gt;1,TYPE('RAPPORTO ISPEZIONE'!H231)&lt;&gt;1,TYPE('RAPPORTO ISPEZIONE'!J221)&lt;&gt;1,TYPE('RAPPORTO ISPEZIONE'!J222)&lt;&gt;1,TYPE('RAPPORTO ISPEZIONE'!J223)&lt;&gt;1,TYPE('RAPPORTO ISPEZIONE'!J224)&lt;&gt;1,TYPE('RAPPORTO ISPEZIONE'!J225)&lt;&gt;1,TYPE('RAPPORTO ISPEZIONE'!J226)&lt;&gt;1,TYPE('RAPPORTO ISPEZIONE'!J227)&lt;&gt;1,TYPE('RAPPORTO ISPEZIONE'!J228)&lt;&gt;1,TYPE('RAPPORTO ISPEZIONE'!J229)&lt;&gt;1,TYPE('RAPPORTO ISPEZIONE'!J230)&lt;&gt;1,TYPE('RAPPORTO ISPEZIONE'!J231)&lt;&gt;1,TYPE('RAPPORTO ISPEZIONE'!K221)&lt;&gt;1,TYPE('RAPPORTO ISPEZIONE'!K222)&lt;&gt;1,TYPE('RAPPORTO ISPEZIONE'!K223)&lt;&gt;1,TYPE('RAPPORTO ISPEZIONE'!K224)&lt;&gt;1,TYPE('RAPPORTO ISPEZIONE'!K225)&lt;&gt;1,TYPE('RAPPORTO ISPEZIONE'!K226)&lt;&gt;1,TYPE('RAPPORTO ISPEZIONE'!K227)&lt;&gt;1,TYPE('RAPPORTO ISPEZIONE'!K228)&lt;&gt;1,TYPE('RAPPORTO ISPEZIONE'!K229)&lt;&gt;1,TYPE('RAPPORTO ISPEZIONE'!K230)&lt;&gt;1,TYPE('RAPPORTO ISPEZIONE'!K231)&lt;&gt;1,TYPE('RAPPORTO ISPEZIONE'!L221)&lt;&gt;1,TYPE('RAPPORTO ISPEZIONE'!L222)&lt;&gt;1,TYPE('RAPPORTO ISPEZIONE'!L223)&lt;&gt;1,TYPE('RAPPORTO ISPEZIONE'!L224)&lt;&gt;1,TYPE('RAPPORTO ISPEZIONE'!L225)&lt;&gt;1,TYPE('RAPPORTO ISPEZIONE'!L226)&lt;&gt;1,TYPE('RAPPORTO ISPEZIONE'!L227)&lt;&gt;1,TYPE('RAPPORTO ISPEZIONE'!L228)&lt;&gt;1,TYPE('RAPPORTO ISPEZIONE'!L229)&lt;&gt;1,TYPE('RAPPORTO ISPEZIONE'!L230)&lt;&gt;1,TYPE('RAPPORTO ISPEZIONE'!L231)&lt;&gt;1,),"ERRORE: Esiste un campo di errore inserito in Misure carico fittizio che non è di tipo numerico. ",""),""),"NESSUN CONTROLLO: Rapporto di ispezione cartaceo")</f>
        <v/>
      </c>
      <c r="K80" s="1280"/>
      <c r="L80" s="1281"/>
    </row>
    <row r="81" spans="1:12" s="476" customFormat="1" ht="28.5" customHeight="1" x14ac:dyDescent="0.25">
      <c r="A81" s="1268"/>
      <c r="B81" s="1277" t="s">
        <v>1194</v>
      </c>
      <c r="C81" s="1277"/>
      <c r="D81" s="1277"/>
      <c r="E81" s="1277"/>
      <c r="F81" s="1277"/>
      <c r="G81" s="1277"/>
      <c r="H81" s="1277"/>
      <c r="I81" s="478"/>
      <c r="J81" s="1280" t="str">
        <f>IF('DATI INGRESSO'!D5="X",IF('RAPPORTO ISPEZIONE'!M240="X","ERRORE: Costante lettura complessiva sistema di misura errata",""),"NESSUN CONTROLLO: Rapporto di ispezione cartaceo")</f>
        <v>ERRORE: Costante lettura complessiva sistema di misura errata</v>
      </c>
      <c r="K81" s="1280"/>
      <c r="L81" s="1281"/>
    </row>
    <row r="82" spans="1:12" s="476" customFormat="1" ht="28.5" customHeight="1" x14ac:dyDescent="0.25">
      <c r="A82" s="1268"/>
      <c r="B82" s="1277" t="s">
        <v>1213</v>
      </c>
      <c r="C82" s="1277"/>
      <c r="D82" s="1277"/>
      <c r="E82" s="1277"/>
      <c r="F82" s="1277"/>
      <c r="G82" s="1277"/>
      <c r="H82" s="1277"/>
      <c r="I82" s="478"/>
      <c r="J82" s="1280" t="str">
        <f>IF('DATI INGRESSO'!D5="X",IF(OR(COUNTA('RAPPORTO ISPEZIONE'!E255:G274)&lt;&gt;COUNTA('RAPPORTO ISPEZIONE'!B255:D274),COUNTA('RAPPORTO ISPEZIONE'!H255:H274)&lt;&gt;COUNTA('RAPPORTO ISPEZIONE'!B255:D274),COUNTA('RAPPORTO ISPEZIONE'!I255:M274)&lt;&gt;COUNTA('RAPPORTO ISPEZIONE'!B255:D274)),"ERRORE: Errore di compilazione Movimentazione suggelli",""),"NESSUN CONTROLLO: Rapporto di ispezione cartaceo")</f>
        <v/>
      </c>
      <c r="K82" s="1280"/>
      <c r="L82" s="1281"/>
    </row>
    <row r="83" spans="1:12" s="476" customFormat="1" ht="28.5" customHeight="1" x14ac:dyDescent="0.25">
      <c r="A83" s="1269"/>
      <c r="B83" s="1277" t="s">
        <v>1225</v>
      </c>
      <c r="C83" s="1277"/>
      <c r="D83" s="1277"/>
      <c r="E83" s="1277"/>
      <c r="F83" s="1277"/>
      <c r="G83" s="1277"/>
      <c r="H83" s="1277"/>
      <c r="I83" s="478"/>
      <c r="J83" s="1280" t="str">
        <f>IF('DATI INGRESSO'!D5="X",IF(TYPE('RAPPORTO ISPEZIONE'!L65)&lt;&gt;1,"ERRORE: Costante di lettura complessiva del sistema di misura non è un campo numerico. ",""),"NESSUN CONTROLLO: Rapporto di ispezione cartaceo")</f>
        <v/>
      </c>
      <c r="K83" s="1280"/>
      <c r="L83" s="1281"/>
    </row>
    <row r="84" spans="1:12" s="476" customFormat="1" ht="28.5" customHeight="1" x14ac:dyDescent="0.25">
      <c r="A84" s="477"/>
      <c r="B84" s="697"/>
      <c r="C84" s="697"/>
      <c r="D84" s="697"/>
      <c r="E84" s="697"/>
      <c r="F84" s="697"/>
      <c r="G84" s="697"/>
      <c r="H84" s="697"/>
      <c r="I84" s="478"/>
      <c r="J84" s="698"/>
      <c r="K84" s="698"/>
      <c r="L84" s="699"/>
    </row>
    <row r="85" spans="1:12" s="476" customFormat="1" ht="28.5" customHeight="1" x14ac:dyDescent="0.25">
      <c r="A85" s="1276" t="s">
        <v>1218</v>
      </c>
      <c r="B85" s="1279" t="s">
        <v>1215</v>
      </c>
      <c r="C85" s="1279"/>
      <c r="D85" s="1279"/>
      <c r="E85" s="1279"/>
      <c r="F85" s="1279"/>
      <c r="G85" s="1279"/>
      <c r="H85" s="1279"/>
      <c r="I85" s="478"/>
      <c r="J85" s="1294" t="str">
        <f>IF(COUNTIF(TABELLE!I145:I158,"")=13,IF('DATI INGRESSO'!C114&lt;&gt;"",IF(AND('DATI INGRESSO'!K114&lt;'DATI INGRESSO'!H7,'DATI INGRESSO'!L114&gt;'DATI INGRESSO'!H7),"","ERRORE: Taratura annuale contatore campione non congrua con data Ispezione. "),""),"ERRORE: Controllare data taratura contatore campione in TABELLE. ")</f>
        <v/>
      </c>
      <c r="K85" s="1294"/>
      <c r="L85" s="1294"/>
    </row>
    <row r="86" spans="1:12" s="476" customFormat="1" ht="28.5" customHeight="1" x14ac:dyDescent="0.25">
      <c r="A86" s="1276"/>
      <c r="B86" s="1277" t="s">
        <v>1214</v>
      </c>
      <c r="C86" s="1277"/>
      <c r="D86" s="1277"/>
      <c r="E86" s="1277"/>
      <c r="F86" s="1277"/>
      <c r="G86" s="1277"/>
      <c r="H86" s="1277"/>
      <c r="I86" s="478"/>
      <c r="J86" s="1294" t="str">
        <f>IF(OR(IF('DATI INGRESSO'!O149&lt;&gt;"",IF(TYPE('DATI INGRESSO'!O149)&lt;&gt;1,TRUE,FALSE),FALSE),IF('DATI INGRESSO'!O152&lt;&gt;"",IF(TYPE('DATI INGRESSO'!O152)&lt;&gt;1,TRUE,FALSE),FALSE),IF('DATI INGRESSO'!O155&lt;&gt;"",IF(TYPE('DATI INGRESSO'!O155)&lt;&gt;1,TRUE,FALSE),FALSE),IF('DATI INGRESSO'!O167&lt;&gt;"",IF(TYPE('DATI INGRESSO'!O167)&lt;&gt;1,TRUE,FALSE),FALSE),IF('DATI INGRESSO'!O171&lt;&gt;"",IF(TYPE('DATI INGRESSO'!O171)&lt;&gt;1,TRUE,FALSE),FALSE),IF('DATI INGRESSO'!O175&lt;&gt;"",IF(TYPE('DATI INGRESSO'!O175)&lt;&gt;1,TRUE,FALSE),FALSE)),"ERRORE: Correnti/Tensioni primarie o secondarie dei TA/TV, oppure prestazioni TA/TV, non campo numerico. ","")</f>
        <v/>
      </c>
      <c r="K86" s="1294"/>
      <c r="L86" s="1294"/>
    </row>
    <row r="87" spans="1:12" x14ac:dyDescent="0.25">
      <c r="A87" s="477"/>
      <c r="B87" s="478"/>
      <c r="C87" s="478"/>
      <c r="D87" s="478"/>
      <c r="E87" s="478"/>
      <c r="F87" s="478"/>
      <c r="G87" s="478"/>
      <c r="H87" s="478"/>
      <c r="I87" s="478"/>
      <c r="J87" s="478"/>
      <c r="K87" s="478"/>
      <c r="L87" s="479"/>
    </row>
    <row r="88" spans="1:12" x14ac:dyDescent="0.25">
      <c r="A88" s="477"/>
      <c r="B88" s="478"/>
      <c r="C88" s="478"/>
      <c r="D88" s="478"/>
      <c r="E88" s="478"/>
      <c r="F88" s="478"/>
      <c r="G88" s="478"/>
      <c r="H88" s="478"/>
      <c r="I88" s="478"/>
      <c r="J88" s="478"/>
      <c r="K88" s="478"/>
      <c r="L88" s="479"/>
    </row>
    <row r="89" spans="1:12" ht="15" customHeight="1" x14ac:dyDescent="0.25">
      <c r="A89" s="1272" t="s">
        <v>367</v>
      </c>
      <c r="B89" s="1273"/>
      <c r="C89" s="1274" t="str">
        <f>'DATI INGRESSO'!C58</f>
        <v>97005555</v>
      </c>
      <c r="D89" s="1275"/>
      <c r="E89" s="478"/>
      <c r="F89" s="1271" t="s">
        <v>247</v>
      </c>
      <c r="G89" s="1271"/>
      <c r="H89" s="1278">
        <f>'DATI INGRESSO'!H7</f>
        <v>44041</v>
      </c>
      <c r="I89" s="1278"/>
      <c r="J89" s="478"/>
      <c r="K89" s="478"/>
      <c r="L89" s="479"/>
    </row>
    <row r="90" spans="1:12" x14ac:dyDescent="0.25">
      <c r="A90" s="1270" t="s">
        <v>1067</v>
      </c>
      <c r="B90" s="1271"/>
      <c r="C90" s="1274" t="str">
        <f>'DATI INGRESSO'!C8</f>
        <v>CP200077</v>
      </c>
      <c r="D90" s="1275"/>
      <c r="E90" s="478"/>
      <c r="F90" s="1271" t="s">
        <v>743</v>
      </c>
      <c r="G90" s="1271"/>
      <c r="H90" s="1278" t="str">
        <f>IF('DATI INGRESSO'!H14="","",'DATI INGRESSO'!H14)</f>
        <v>20/07/2020</v>
      </c>
      <c r="I90" s="1278"/>
      <c r="J90" s="478"/>
      <c r="K90" s="478"/>
      <c r="L90" s="479"/>
    </row>
    <row r="91" spans="1:12" x14ac:dyDescent="0.25">
      <c r="A91" s="1270" t="s">
        <v>1068</v>
      </c>
      <c r="B91" s="1271"/>
      <c r="C91" s="1274">
        <f>'DATI INGRESSO'!C11</f>
        <v>8601</v>
      </c>
      <c r="D91" s="1275"/>
      <c r="E91" s="478"/>
      <c r="F91" s="1271" t="s">
        <v>1066</v>
      </c>
      <c r="G91" s="1271"/>
      <c r="H91" s="1278" t="str">
        <f>IF('DATI INGRESSO'!H16="","",'DATI INGRESSO'!H16)</f>
        <v/>
      </c>
      <c r="I91" s="1278"/>
      <c r="J91" s="478"/>
      <c r="K91" s="478"/>
      <c r="L91" s="479"/>
    </row>
    <row r="92" spans="1:12" x14ac:dyDescent="0.25">
      <c r="A92" s="1270" t="s">
        <v>1069</v>
      </c>
      <c r="B92" s="1271"/>
      <c r="C92" s="1275" t="str">
        <f>'DATI INGRESSO'!C14</f>
        <v>ORD2003061B</v>
      </c>
      <c r="D92" s="1275"/>
      <c r="E92" s="478"/>
      <c r="F92" s="478"/>
      <c r="G92" s="478"/>
      <c r="H92" s="478"/>
      <c r="I92" s="478"/>
      <c r="J92" s="478"/>
      <c r="K92" s="478"/>
      <c r="L92" s="479"/>
    </row>
    <row r="93" spans="1:12" s="476" customFormat="1" x14ac:dyDescent="0.25">
      <c r="A93" s="512"/>
      <c r="B93" s="513"/>
      <c r="C93" s="514"/>
      <c r="D93" s="514"/>
      <c r="E93" s="478"/>
      <c r="F93" s="478"/>
      <c r="G93" s="478"/>
      <c r="H93" s="478"/>
      <c r="I93" s="478"/>
      <c r="J93" s="478"/>
      <c r="K93" s="478"/>
      <c r="L93" s="479"/>
    </row>
    <row r="94" spans="1:12" ht="15.75" thickBot="1" x14ac:dyDescent="0.3">
      <c r="A94" s="482"/>
      <c r="B94" s="484"/>
      <c r="C94" s="484"/>
      <c r="D94" s="484"/>
      <c r="E94" s="484"/>
      <c r="F94" s="484"/>
      <c r="G94" s="484"/>
      <c r="H94" s="484"/>
      <c r="I94" s="484"/>
      <c r="J94" s="484"/>
      <c r="K94" s="484"/>
      <c r="L94" s="511"/>
    </row>
    <row r="96" spans="1:12" ht="15" customHeight="1" x14ac:dyDescent="0.25"/>
    <row r="97" ht="15" customHeight="1" x14ac:dyDescent="0.25"/>
  </sheetData>
  <sheetProtection algorithmName="SHA-512" hashValue="ms//j2TX+0o/tFtC4aAH9Tzk1V39bhqJ5/fXrPjNgoTLS8IVJ9VOddZUqnY8Wdj2TEOq8dbA1yJvD3LapGU4Fg==" saltValue="VNQuZIyiz/wYurajasMDXw==" spinCount="100000" sheet="1" objects="1" scenarios="1"/>
  <protectedRanges>
    <protectedRange algorithmName="SHA-512" hashValue="QsOrge8h2yyLpDBu7gaGPIWz0E3QcZHF+4D3pTD3ofl7DAyz7JRH76x/mHxscWEGuDkvC3JMrGteORqdKyzUMw==" saltValue="ElywfIVweHpaIAlBFWXvbA==" spinCount="100000" sqref="J26" name="LABI"/>
    <protectedRange algorithmName="SHA-512" hashValue="2TqTENiz8jKYdOsHQUgkKUdXZUbSMLgvHiwNh3ziYM3EuEeyn/oM3WOWSr+rZ+UeBXUcwJY1mMf8vT0DKAY1Pw==" saltValue="BKM/YfYejfc4vUqXEC5z/A==" spinCount="100000" sqref="L13:L17 J13:J17 L23" name="OPEE RISERVA"/>
    <protectedRange algorithmName="SHA-512" hashValue="GocphyjOCO7QwyR6H3wMkETt76pEDugOhO/K2mHXqfydKNzQR+eLyIxq9ZUNo63Dz5Bc1O4yXqYDoXCkjahUyQ==" saltValue="9PZu5Pg+40Wg3mq8YQZHYQ==" spinCount="100000" sqref="J23 L23" name="OPE"/>
    <protectedRange algorithmName="SHA-512" hashValue="H/O2UIcxclbJQjCnJFYZnEkCHkosonaIrDCiz85WlPDZmZ+CfOXx8z0yD3Jh99Y6nTWgi9798IBdVtSkASL1iQ==" saltValue="9v0kSmXe5PJRwpxaMSfdSQ==" spinCount="100000" sqref="J19" name="ARQ"/>
    <protectedRange algorithmName="SHA-512" hashValue="aWLDksY4Pka0UdDbZZFC2Vt/p4+Ar3YrJqSpNUqUfbgO1XNba2vsP5ZNgPJfOvrAQc/7LUs/+gaCg4xCwBD0Gw==" saltValue="qA43AGPHplmgI2XaniS94g==" spinCount="100000" sqref="L9 J9" name="OPEE 2 CRISTIANO POZZI"/>
    <protectedRange algorithmName="SHA-512" hashValue="48VyMQ9/8esVpiJTYVBEHKXcrxlSUFfqlvlpnPba9FWvd7lrZXRaJea9BKW9LQeh82VRh3bYh9NKPczzUnQqZQ==" saltValue="4f1esn4KVdQ/shdTx04mhg==" spinCount="100000" sqref="L10 J10" name="OPEE 3 MAURO MEDAGLIA"/>
    <protectedRange algorithmName="SHA-512" hashValue="KQ/YzbUQfFC71TKMQRcxcfNAMaHn8O7/fxx/X3U6IWSMjty/dmgoDSPYc0awmJRO9Vkw1BMCpytcgJNB4H6muQ==" saltValue="WPSwPLADxjuPCn9AXRof5A==" spinCount="100000" sqref="L11 J11" name="OPEE 4 STEFANO STELLARI"/>
    <protectedRange algorithmName="SHA-512" hashValue="xsSSahdGT73npiL8livTuAFZIG+J4vtyv41WazbQUtQg9V431iJLEVuEABOBUybic94kdUWv91hdqH8mPyZkxg==" saltValue="NADLLgROWgM1XIZ6LocmKg==" spinCount="100000" sqref="L12 J12" name="OPEE 5 MICHELE TITOLDINI"/>
    <protectedRange algorithmName="SHA-512" hashValue="kME9SNoHAmH2WqTmgpKicr5aFwhUieCfA/TbYC8JBv30GlqaXnYGXH0vjfWUIBmQoxAkXXnbbACdlQ/sVrC0wA==" saltValue="Drg9hWU/QUoSiHCylIsF0g==" spinCount="100000" sqref="J26" name="LABE"/>
  </protectedRanges>
  <mergeCells count="149">
    <mergeCell ref="A30:A38"/>
    <mergeCell ref="J83:L83"/>
    <mergeCell ref="J80:L80"/>
    <mergeCell ref="B70:H70"/>
    <mergeCell ref="J72:L72"/>
    <mergeCell ref="B73:H73"/>
    <mergeCell ref="J73:L73"/>
    <mergeCell ref="B74:H74"/>
    <mergeCell ref="A1:C2"/>
    <mergeCell ref="J39:L39"/>
    <mergeCell ref="A3:L3"/>
    <mergeCell ref="A9:A17"/>
    <mergeCell ref="B30:H30"/>
    <mergeCell ref="B31:H31"/>
    <mergeCell ref="B7:E7"/>
    <mergeCell ref="F7:H7"/>
    <mergeCell ref="J29:L29"/>
    <mergeCell ref="B10:H10"/>
    <mergeCell ref="B11:H11"/>
    <mergeCell ref="B12:H12"/>
    <mergeCell ref="B19:H19"/>
    <mergeCell ref="B23:H23"/>
    <mergeCell ref="B26:H26"/>
    <mergeCell ref="B9:H9"/>
    <mergeCell ref="D1:F2"/>
    <mergeCell ref="J49:L49"/>
    <mergeCell ref="B49:H49"/>
    <mergeCell ref="B33:H33"/>
    <mergeCell ref="B34:H34"/>
    <mergeCell ref="B35:H35"/>
    <mergeCell ref="J33:L33"/>
    <mergeCell ref="J34:L34"/>
    <mergeCell ref="J35:L35"/>
    <mergeCell ref="G1:H1"/>
    <mergeCell ref="B5:E6"/>
    <mergeCell ref="F5:H6"/>
    <mergeCell ref="J1:K1"/>
    <mergeCell ref="G2:H2"/>
    <mergeCell ref="J2:K2"/>
    <mergeCell ref="B13:H13"/>
    <mergeCell ref="B14:H14"/>
    <mergeCell ref="B15:H15"/>
    <mergeCell ref="J30:L30"/>
    <mergeCell ref="J31:L31"/>
    <mergeCell ref="J32:L32"/>
    <mergeCell ref="B32:H32"/>
    <mergeCell ref="B46:H46"/>
    <mergeCell ref="B38:H38"/>
    <mergeCell ref="J79:L79"/>
    <mergeCell ref="B80:H80"/>
    <mergeCell ref="B86:H86"/>
    <mergeCell ref="B64:H64"/>
    <mergeCell ref="J64:L64"/>
    <mergeCell ref="B79:H79"/>
    <mergeCell ref="J86:L86"/>
    <mergeCell ref="B81:H81"/>
    <mergeCell ref="J81:L81"/>
    <mergeCell ref="B85:H85"/>
    <mergeCell ref="J85:L85"/>
    <mergeCell ref="J66:L66"/>
    <mergeCell ref="J67:L67"/>
    <mergeCell ref="B69:H69"/>
    <mergeCell ref="J69:L69"/>
    <mergeCell ref="B71:H71"/>
    <mergeCell ref="J68:L68"/>
    <mergeCell ref="J70:L70"/>
    <mergeCell ref="J71:L71"/>
    <mergeCell ref="J76:L76"/>
    <mergeCell ref="B77:H77"/>
    <mergeCell ref="J82:L82"/>
    <mergeCell ref="B67:H67"/>
    <mergeCell ref="B66:H66"/>
    <mergeCell ref="B36:H36"/>
    <mergeCell ref="J37:L37"/>
    <mergeCell ref="J46:L46"/>
    <mergeCell ref="B54:H54"/>
    <mergeCell ref="J54:L54"/>
    <mergeCell ref="J45:L45"/>
    <mergeCell ref="B37:H37"/>
    <mergeCell ref="J42:L42"/>
    <mergeCell ref="J36:L36"/>
    <mergeCell ref="J52:L52"/>
    <mergeCell ref="B52:H52"/>
    <mergeCell ref="F39:H39"/>
    <mergeCell ref="B43:H43"/>
    <mergeCell ref="J43:L43"/>
    <mergeCell ref="B44:H44"/>
    <mergeCell ref="J44:L44"/>
    <mergeCell ref="B45:H45"/>
    <mergeCell ref="J58:L58"/>
    <mergeCell ref="J59:L59"/>
    <mergeCell ref="B51:H51"/>
    <mergeCell ref="J51:L51"/>
    <mergeCell ref="B53:H53"/>
    <mergeCell ref="J48:L48"/>
    <mergeCell ref="J62:L62"/>
    <mergeCell ref="B65:H65"/>
    <mergeCell ref="J65:L65"/>
    <mergeCell ref="J63:L63"/>
    <mergeCell ref="J61:L61"/>
    <mergeCell ref="J57:L57"/>
    <mergeCell ref="B63:H63"/>
    <mergeCell ref="J74:L74"/>
    <mergeCell ref="B75:H75"/>
    <mergeCell ref="J75:L75"/>
    <mergeCell ref="B78:H78"/>
    <mergeCell ref="J78:L78"/>
    <mergeCell ref="J53:L53"/>
    <mergeCell ref="J60:L60"/>
    <mergeCell ref="B16:H16"/>
    <mergeCell ref="B17:H17"/>
    <mergeCell ref="B48:H48"/>
    <mergeCell ref="B72:H72"/>
    <mergeCell ref="B68:H68"/>
    <mergeCell ref="J38:L38"/>
    <mergeCell ref="B59:H59"/>
    <mergeCell ref="B55:H55"/>
    <mergeCell ref="J55:L55"/>
    <mergeCell ref="B56:H56"/>
    <mergeCell ref="J77:L77"/>
    <mergeCell ref="J56:L56"/>
    <mergeCell ref="B60:H60"/>
    <mergeCell ref="B50:H50"/>
    <mergeCell ref="J50:L50"/>
    <mergeCell ref="J47:L47"/>
    <mergeCell ref="B47:H47"/>
    <mergeCell ref="A43:A83"/>
    <mergeCell ref="A92:B92"/>
    <mergeCell ref="A89:B89"/>
    <mergeCell ref="F91:G91"/>
    <mergeCell ref="A90:B90"/>
    <mergeCell ref="C90:D90"/>
    <mergeCell ref="C91:D91"/>
    <mergeCell ref="C92:D92"/>
    <mergeCell ref="F89:G89"/>
    <mergeCell ref="F90:G90"/>
    <mergeCell ref="C89:D89"/>
    <mergeCell ref="A91:B91"/>
    <mergeCell ref="A85:A86"/>
    <mergeCell ref="B76:H76"/>
    <mergeCell ref="H90:I90"/>
    <mergeCell ref="H91:I91"/>
    <mergeCell ref="B61:H61"/>
    <mergeCell ref="B62:H62"/>
    <mergeCell ref="B57:H57"/>
    <mergeCell ref="B83:H83"/>
    <mergeCell ref="H89:I89"/>
    <mergeCell ref="B82:H82"/>
    <mergeCell ref="B58:H58"/>
  </mergeCells>
  <dataValidations count="2">
    <dataValidation type="custom" showInputMessage="1" showErrorMessage="1" sqref="L23 L9:L17" xr:uid="{00000000-0002-0000-0100-000000000000}">
      <formula1>J9=""</formula1>
    </dataValidation>
    <dataValidation type="custom" showInputMessage="1" showErrorMessage="1" sqref="K19" xr:uid="{00000000-0002-0000-0100-000001000000}">
      <formula1>K23=""</formula1>
    </dataValidation>
  </dataValidations>
  <pageMargins left="0.24" right="0.25" top="0.74803149606299213" bottom="0.74803149606299213" header="0.31496062992125984" footer="0.31496062992125984"/>
  <pageSetup paperSize="9" scale="32" orientation="portrait" r:id="rId1"/>
  <drawing r:id="rId2"/>
  <extLst>
    <ext xmlns:x14="http://schemas.microsoft.com/office/spreadsheetml/2009/9/main" uri="{CCE6A557-97BC-4b89-ADB6-D9C93CAAB3DF}">
      <x14:dataValidations xmlns:xm="http://schemas.microsoft.com/office/excel/2006/main" count="4">
        <x14:dataValidation type="list" showInputMessage="1" showErrorMessage="1" xr:uid="{00000000-0002-0000-0100-000002000000}">
          <x14:formula1>
            <xm:f>IF(AND($J$19="",$F$5&lt;&gt;"PRESENZA ERRORI OPEE: Non firmare rapporto ispezione"),TABELLE!$B$3:$B$15,FALSE)</xm:f>
          </x14:formula1>
          <xm:sqref>J9:J17</xm:sqref>
        </x14:dataValidation>
        <x14:dataValidation type="list" showInputMessage="1" showErrorMessage="1" xr:uid="{00000000-0002-0000-0100-000003000000}">
          <x14:formula1>
            <xm:f>IF($J$23&lt;&gt;"",TABELLE!$B$19:$B$23,FALSE)</xm:f>
          </x14:formula1>
          <xm:sqref>J26</xm:sqref>
        </x14:dataValidation>
        <x14:dataValidation type="list" showInputMessage="1" showErrorMessage="1" xr:uid="{00000000-0002-0000-0100-000004000000}">
          <x14:formula1>
            <xm:f>IF('DATI INGRESSO'!D5="X",IF(AND($J$26="",$J$19&lt;&gt;"",$F$7&lt;&gt;"PRESENZA ERRORI OPE: Non firmare rapporto ispezione"),TABELLE!$B$19:$B$23,FALSE),IF(AND($J$26="",$F$7&lt;&gt;"PRESENZA ERRORI OPE: Non firmare rapporto ispezione"),TABELLE!$B$19:$B$23,FALSE))</xm:f>
          </x14:formula1>
          <xm:sqref>J23</xm:sqref>
        </x14:dataValidation>
        <x14:dataValidation type="list" showInputMessage="1" showErrorMessage="1" xr:uid="{00000000-0002-0000-0100-000005000000}">
          <x14:formula1>
            <xm:f>IF('DATI INGRESSO'!D5="X",IF(AND(COUNTA(J9:J17)=1,$J$23=""),TABELLE!$B$19:$B$23,FALSE),FALSE)</xm:f>
          </x14:formula1>
          <xm:sqref>J19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2:M76"/>
  <sheetViews>
    <sheetView workbookViewId="0">
      <selection activeCell="W30" sqref="W30"/>
    </sheetView>
  </sheetViews>
  <sheetFormatPr defaultRowHeight="15" x14ac:dyDescent="0.25"/>
  <cols>
    <col min="1" max="2" width="9.140625" style="1"/>
    <col min="3" max="3" width="15.85546875" style="1" customWidth="1"/>
    <col min="4" max="4" width="10.7109375" style="1" bestFit="1" customWidth="1"/>
    <col min="5" max="16384" width="9.140625" style="1"/>
  </cols>
  <sheetData>
    <row r="2" spans="3:13" x14ac:dyDescent="0.25">
      <c r="C2" s="1" t="s">
        <v>388</v>
      </c>
    </row>
    <row r="4" spans="3:13" x14ac:dyDescent="0.25">
      <c r="D4" s="11">
        <v>42331</v>
      </c>
      <c r="E4" s="1" t="s">
        <v>389</v>
      </c>
    </row>
    <row r="5" spans="3:13" x14ac:dyDescent="0.25">
      <c r="D5" s="11">
        <v>42383</v>
      </c>
      <c r="E5" s="1625" t="s">
        <v>667</v>
      </c>
      <c r="F5" s="1625"/>
      <c r="G5" s="1625"/>
      <c r="H5" s="1625"/>
      <c r="I5" s="1625"/>
      <c r="J5" s="1625"/>
      <c r="K5" s="1625"/>
      <c r="L5" s="1625"/>
      <c r="M5" s="1625"/>
    </row>
    <row r="6" spans="3:13" x14ac:dyDescent="0.25">
      <c r="E6" s="1625"/>
      <c r="F6" s="1625"/>
      <c r="G6" s="1625"/>
      <c r="H6" s="1625"/>
      <c r="I6" s="1625"/>
      <c r="J6" s="1625"/>
      <c r="K6" s="1625"/>
      <c r="L6" s="1625"/>
      <c r="M6" s="1625"/>
    </row>
    <row r="7" spans="3:13" x14ac:dyDescent="0.25">
      <c r="E7" s="1625"/>
      <c r="F7" s="1625"/>
      <c r="G7" s="1625"/>
      <c r="H7" s="1625"/>
      <c r="I7" s="1625"/>
      <c r="J7" s="1625"/>
      <c r="K7" s="1625"/>
      <c r="L7" s="1625"/>
      <c r="M7" s="1625"/>
    </row>
    <row r="8" spans="3:13" x14ac:dyDescent="0.25">
      <c r="E8" s="1625"/>
      <c r="F8" s="1625"/>
      <c r="G8" s="1625"/>
      <c r="H8" s="1625"/>
      <c r="I8" s="1625"/>
      <c r="J8" s="1625"/>
      <c r="K8" s="1625"/>
      <c r="L8" s="1625"/>
      <c r="M8" s="1625"/>
    </row>
    <row r="9" spans="3:13" x14ac:dyDescent="0.25">
      <c r="E9" s="1625"/>
      <c r="F9" s="1625"/>
      <c r="G9" s="1625"/>
      <c r="H9" s="1625"/>
      <c r="I9" s="1625"/>
      <c r="J9" s="1625"/>
      <c r="K9" s="1625"/>
      <c r="L9" s="1625"/>
      <c r="M9" s="1625"/>
    </row>
    <row r="10" spans="3:13" x14ac:dyDescent="0.25">
      <c r="E10" s="1625"/>
      <c r="F10" s="1625"/>
      <c r="G10" s="1625"/>
      <c r="H10" s="1625"/>
      <c r="I10" s="1625"/>
      <c r="J10" s="1625"/>
      <c r="K10" s="1625"/>
      <c r="L10" s="1625"/>
      <c r="M10" s="1625"/>
    </row>
    <row r="11" spans="3:13" x14ac:dyDescent="0.25">
      <c r="E11" s="1625"/>
      <c r="F11" s="1625"/>
      <c r="G11" s="1625"/>
      <c r="H11" s="1625"/>
      <c r="I11" s="1625"/>
      <c r="J11" s="1625"/>
      <c r="K11" s="1625"/>
      <c r="L11" s="1625"/>
      <c r="M11" s="1625"/>
    </row>
    <row r="12" spans="3:13" x14ac:dyDescent="0.25">
      <c r="E12" s="1625"/>
      <c r="F12" s="1625"/>
      <c r="G12" s="1625"/>
      <c r="H12" s="1625"/>
      <c r="I12" s="1625"/>
      <c r="J12" s="1625"/>
      <c r="K12" s="1625"/>
      <c r="L12" s="1625"/>
      <c r="M12" s="1625"/>
    </row>
    <row r="13" spans="3:13" x14ac:dyDescent="0.25">
      <c r="E13" s="1625"/>
      <c r="F13" s="1625"/>
      <c r="G13" s="1625"/>
      <c r="H13" s="1625"/>
      <c r="I13" s="1625"/>
      <c r="J13" s="1625"/>
      <c r="K13" s="1625"/>
      <c r="L13" s="1625"/>
      <c r="M13" s="1625"/>
    </row>
    <row r="14" spans="3:13" x14ac:dyDescent="0.25">
      <c r="D14" s="11">
        <v>42464</v>
      </c>
      <c r="E14" s="1795" t="s">
        <v>717</v>
      </c>
      <c r="F14" s="1795"/>
      <c r="G14" s="1795"/>
      <c r="H14" s="1795"/>
      <c r="I14" s="1795"/>
      <c r="J14" s="1795"/>
      <c r="K14" s="1795"/>
      <c r="L14" s="1795"/>
      <c r="M14" s="1795"/>
    </row>
    <row r="15" spans="3:13" x14ac:dyDescent="0.25">
      <c r="E15" s="1795"/>
      <c r="F15" s="1795"/>
      <c r="G15" s="1795"/>
      <c r="H15" s="1795"/>
      <c r="I15" s="1795"/>
      <c r="J15" s="1795"/>
      <c r="K15" s="1795"/>
      <c r="L15" s="1795"/>
      <c r="M15" s="1795"/>
    </row>
    <row r="16" spans="3:13" x14ac:dyDescent="0.25">
      <c r="E16" s="1795"/>
      <c r="F16" s="1795"/>
      <c r="G16" s="1795"/>
      <c r="H16" s="1795"/>
      <c r="I16" s="1795"/>
      <c r="J16" s="1795"/>
      <c r="K16" s="1795"/>
      <c r="L16" s="1795"/>
      <c r="M16" s="1795"/>
    </row>
    <row r="17" spans="4:13" x14ac:dyDescent="0.25">
      <c r="E17" s="1795"/>
      <c r="F17" s="1795"/>
      <c r="G17" s="1795"/>
      <c r="H17" s="1795"/>
      <c r="I17" s="1795"/>
      <c r="J17" s="1795"/>
      <c r="K17" s="1795"/>
      <c r="L17" s="1795"/>
      <c r="M17" s="1795"/>
    </row>
    <row r="18" spans="4:13" x14ac:dyDescent="0.25">
      <c r="E18" s="1795"/>
      <c r="F18" s="1795"/>
      <c r="G18" s="1795"/>
      <c r="H18" s="1795"/>
      <c r="I18" s="1795"/>
      <c r="J18" s="1795"/>
      <c r="K18" s="1795"/>
      <c r="L18" s="1795"/>
      <c r="M18" s="1795"/>
    </row>
    <row r="19" spans="4:13" x14ac:dyDescent="0.25">
      <c r="E19" s="1795"/>
      <c r="F19" s="1795"/>
      <c r="G19" s="1795"/>
      <c r="H19" s="1795"/>
      <c r="I19" s="1795"/>
      <c r="J19" s="1795"/>
      <c r="K19" s="1795"/>
      <c r="L19" s="1795"/>
      <c r="M19" s="1795"/>
    </row>
    <row r="20" spans="4:13" x14ac:dyDescent="0.25">
      <c r="E20" s="1795"/>
      <c r="F20" s="1795"/>
      <c r="G20" s="1795"/>
      <c r="H20" s="1795"/>
      <c r="I20" s="1795"/>
      <c r="J20" s="1795"/>
      <c r="K20" s="1795"/>
      <c r="L20" s="1795"/>
      <c r="M20" s="1795"/>
    </row>
    <row r="22" spans="4:13" x14ac:dyDescent="0.25">
      <c r="D22" s="11">
        <v>42486</v>
      </c>
      <c r="E22" s="1795" t="s">
        <v>735</v>
      </c>
      <c r="F22" s="1795"/>
      <c r="G22" s="1795"/>
      <c r="H22" s="1795"/>
      <c r="I22" s="1795"/>
      <c r="J22" s="1795"/>
      <c r="K22" s="1795"/>
      <c r="L22" s="1795"/>
      <c r="M22" s="1795"/>
    </row>
    <row r="23" spans="4:13" x14ac:dyDescent="0.25">
      <c r="E23" s="1795"/>
      <c r="F23" s="1795"/>
      <c r="G23" s="1795"/>
      <c r="H23" s="1795"/>
      <c r="I23" s="1795"/>
      <c r="J23" s="1795"/>
      <c r="K23" s="1795"/>
      <c r="L23" s="1795"/>
      <c r="M23" s="1795"/>
    </row>
    <row r="24" spans="4:13" x14ac:dyDescent="0.25">
      <c r="E24" s="1795"/>
      <c r="F24" s="1795"/>
      <c r="G24" s="1795"/>
      <c r="H24" s="1795"/>
      <c r="I24" s="1795"/>
      <c r="J24" s="1795"/>
      <c r="K24" s="1795"/>
      <c r="L24" s="1795"/>
      <c r="M24" s="1795"/>
    </row>
    <row r="25" spans="4:13" x14ac:dyDescent="0.25">
      <c r="E25" s="1795"/>
      <c r="F25" s="1795"/>
      <c r="G25" s="1795"/>
      <c r="H25" s="1795"/>
      <c r="I25" s="1795"/>
      <c r="J25" s="1795"/>
      <c r="K25" s="1795"/>
      <c r="L25" s="1795"/>
      <c r="M25" s="1795"/>
    </row>
    <row r="26" spans="4:13" x14ac:dyDescent="0.25">
      <c r="E26" s="1795"/>
      <c r="F26" s="1795"/>
      <c r="G26" s="1795"/>
      <c r="H26" s="1795"/>
      <c r="I26" s="1795"/>
      <c r="J26" s="1795"/>
      <c r="K26" s="1795"/>
      <c r="L26" s="1795"/>
      <c r="M26" s="1795"/>
    </row>
    <row r="27" spans="4:13" x14ac:dyDescent="0.25">
      <c r="E27" s="1795"/>
      <c r="F27" s="1795"/>
      <c r="G27" s="1795"/>
      <c r="H27" s="1795"/>
      <c r="I27" s="1795"/>
      <c r="J27" s="1795"/>
      <c r="K27" s="1795"/>
      <c r="L27" s="1795"/>
      <c r="M27" s="1795"/>
    </row>
    <row r="28" spans="4:13" x14ac:dyDescent="0.25">
      <c r="E28" s="1795"/>
      <c r="F28" s="1795"/>
      <c r="G28" s="1795"/>
      <c r="H28" s="1795"/>
      <c r="I28" s="1795"/>
      <c r="J28" s="1795"/>
      <c r="K28" s="1795"/>
      <c r="L28" s="1795"/>
      <c r="M28" s="1795"/>
    </row>
    <row r="30" spans="4:13" x14ac:dyDescent="0.25">
      <c r="D30" s="11">
        <v>42705</v>
      </c>
      <c r="E30" s="1795" t="s">
        <v>740</v>
      </c>
      <c r="F30" s="1795"/>
      <c r="G30" s="1795"/>
      <c r="H30" s="1795"/>
      <c r="I30" s="1795"/>
      <c r="J30" s="1795"/>
      <c r="K30" s="1795"/>
      <c r="L30" s="1795"/>
      <c r="M30" s="1795"/>
    </row>
    <row r="31" spans="4:13" x14ac:dyDescent="0.25">
      <c r="E31" s="1795"/>
      <c r="F31" s="1795"/>
      <c r="G31" s="1795"/>
      <c r="H31" s="1795"/>
      <c r="I31" s="1795"/>
      <c r="J31" s="1795"/>
      <c r="K31" s="1795"/>
      <c r="L31" s="1795"/>
      <c r="M31" s="1795"/>
    </row>
    <row r="32" spans="4:13" x14ac:dyDescent="0.25">
      <c r="E32" s="1795"/>
      <c r="F32" s="1795"/>
      <c r="G32" s="1795"/>
      <c r="H32" s="1795"/>
      <c r="I32" s="1795"/>
      <c r="J32" s="1795"/>
      <c r="K32" s="1795"/>
      <c r="L32" s="1795"/>
      <c r="M32" s="1795"/>
    </row>
    <row r="33" spans="4:13" x14ac:dyDescent="0.25">
      <c r="E33" s="1795"/>
      <c r="F33" s="1795"/>
      <c r="G33" s="1795"/>
      <c r="H33" s="1795"/>
      <c r="I33" s="1795"/>
      <c r="J33" s="1795"/>
      <c r="K33" s="1795"/>
      <c r="L33" s="1795"/>
      <c r="M33" s="1795"/>
    </row>
    <row r="34" spans="4:13" x14ac:dyDescent="0.25">
      <c r="E34" s="1795"/>
      <c r="F34" s="1795"/>
      <c r="G34" s="1795"/>
      <c r="H34" s="1795"/>
      <c r="I34" s="1795"/>
      <c r="J34" s="1795"/>
      <c r="K34" s="1795"/>
      <c r="L34" s="1795"/>
      <c r="M34" s="1795"/>
    </row>
    <row r="35" spans="4:13" x14ac:dyDescent="0.25">
      <c r="E35" s="1795"/>
      <c r="F35" s="1795"/>
      <c r="G35" s="1795"/>
      <c r="H35" s="1795"/>
      <c r="I35" s="1795"/>
      <c r="J35" s="1795"/>
      <c r="K35" s="1795"/>
      <c r="L35" s="1795"/>
      <c r="M35" s="1795"/>
    </row>
    <row r="36" spans="4:13" x14ac:dyDescent="0.25">
      <c r="E36" s="1795"/>
      <c r="F36" s="1795"/>
      <c r="G36" s="1795"/>
      <c r="H36" s="1795"/>
      <c r="I36" s="1795"/>
      <c r="J36" s="1795"/>
      <c r="K36" s="1795"/>
      <c r="L36" s="1795"/>
      <c r="M36" s="1795"/>
    </row>
    <row r="38" spans="4:13" x14ac:dyDescent="0.25">
      <c r="D38" s="11">
        <v>42828</v>
      </c>
      <c r="E38" s="1795" t="s">
        <v>746</v>
      </c>
      <c r="F38" s="1795"/>
      <c r="G38" s="1795"/>
      <c r="H38" s="1795"/>
      <c r="I38" s="1795"/>
      <c r="J38" s="1795"/>
      <c r="K38" s="1795"/>
      <c r="L38" s="1795"/>
      <c r="M38" s="1795"/>
    </row>
    <row r="39" spans="4:13" x14ac:dyDescent="0.25">
      <c r="E39" s="1795"/>
      <c r="F39" s="1795"/>
      <c r="G39" s="1795"/>
      <c r="H39" s="1795"/>
      <c r="I39" s="1795"/>
      <c r="J39" s="1795"/>
      <c r="K39" s="1795"/>
      <c r="L39" s="1795"/>
      <c r="M39" s="1795"/>
    </row>
    <row r="40" spans="4:13" x14ac:dyDescent="0.25">
      <c r="E40" s="1795"/>
      <c r="F40" s="1795"/>
      <c r="G40" s="1795"/>
      <c r="H40" s="1795"/>
      <c r="I40" s="1795"/>
      <c r="J40" s="1795"/>
      <c r="K40" s="1795"/>
      <c r="L40" s="1795"/>
      <c r="M40" s="1795"/>
    </row>
    <row r="41" spans="4:13" x14ac:dyDescent="0.25">
      <c r="E41" s="1795"/>
      <c r="F41" s="1795"/>
      <c r="G41" s="1795"/>
      <c r="H41" s="1795"/>
      <c r="I41" s="1795"/>
      <c r="J41" s="1795"/>
      <c r="K41" s="1795"/>
      <c r="L41" s="1795"/>
      <c r="M41" s="1795"/>
    </row>
    <row r="42" spans="4:13" x14ac:dyDescent="0.25">
      <c r="E42" s="1795"/>
      <c r="F42" s="1795"/>
      <c r="G42" s="1795"/>
      <c r="H42" s="1795"/>
      <c r="I42" s="1795"/>
      <c r="J42" s="1795"/>
      <c r="K42" s="1795"/>
      <c r="L42" s="1795"/>
      <c r="M42" s="1795"/>
    </row>
    <row r="43" spans="4:13" x14ac:dyDescent="0.25">
      <c r="E43" s="1795"/>
      <c r="F43" s="1795"/>
      <c r="G43" s="1795"/>
      <c r="H43" s="1795"/>
      <c r="I43" s="1795"/>
      <c r="J43" s="1795"/>
      <c r="K43" s="1795"/>
      <c r="L43" s="1795"/>
      <c r="M43" s="1795"/>
    </row>
    <row r="44" spans="4:13" x14ac:dyDescent="0.25">
      <c r="E44" s="1795"/>
      <c r="F44" s="1795"/>
      <c r="G44" s="1795"/>
      <c r="H44" s="1795"/>
      <c r="I44" s="1795"/>
      <c r="J44" s="1795"/>
      <c r="K44" s="1795"/>
      <c r="L44" s="1795"/>
      <c r="M44" s="1795"/>
    </row>
    <row r="46" spans="4:13" x14ac:dyDescent="0.25">
      <c r="D46" s="11">
        <v>42887</v>
      </c>
      <c r="E46" s="1795" t="s">
        <v>749</v>
      </c>
      <c r="F46" s="1795"/>
      <c r="G46" s="1795"/>
      <c r="H46" s="1795"/>
      <c r="I46" s="1795"/>
      <c r="J46" s="1795"/>
      <c r="K46" s="1795"/>
      <c r="L46" s="1795"/>
      <c r="M46" s="1795"/>
    </row>
    <row r="47" spans="4:13" x14ac:dyDescent="0.25">
      <c r="E47" s="1795"/>
      <c r="F47" s="1795"/>
      <c r="G47" s="1795"/>
      <c r="H47" s="1795"/>
      <c r="I47" s="1795"/>
      <c r="J47" s="1795"/>
      <c r="K47" s="1795"/>
      <c r="L47" s="1795"/>
      <c r="M47" s="1795"/>
    </row>
    <row r="48" spans="4:13" x14ac:dyDescent="0.25">
      <c r="E48" s="1795"/>
      <c r="F48" s="1795"/>
      <c r="G48" s="1795"/>
      <c r="H48" s="1795"/>
      <c r="I48" s="1795"/>
      <c r="J48" s="1795"/>
      <c r="K48" s="1795"/>
      <c r="L48" s="1795"/>
      <c r="M48" s="1795"/>
    </row>
    <row r="49" spans="4:13" x14ac:dyDescent="0.25">
      <c r="E49" s="1795"/>
      <c r="F49" s="1795"/>
      <c r="G49" s="1795"/>
      <c r="H49" s="1795"/>
      <c r="I49" s="1795"/>
      <c r="J49" s="1795"/>
      <c r="K49" s="1795"/>
      <c r="L49" s="1795"/>
      <c r="M49" s="1795"/>
    </row>
    <row r="50" spans="4:13" x14ac:dyDescent="0.25">
      <c r="E50" s="1795"/>
      <c r="F50" s="1795"/>
      <c r="G50" s="1795"/>
      <c r="H50" s="1795"/>
      <c r="I50" s="1795"/>
      <c r="J50" s="1795"/>
      <c r="K50" s="1795"/>
      <c r="L50" s="1795"/>
      <c r="M50" s="1795"/>
    </row>
    <row r="51" spans="4:13" x14ac:dyDescent="0.25">
      <c r="E51" s="1795"/>
      <c r="F51" s="1795"/>
      <c r="G51" s="1795"/>
      <c r="H51" s="1795"/>
      <c r="I51" s="1795"/>
      <c r="J51" s="1795"/>
      <c r="K51" s="1795"/>
      <c r="L51" s="1795"/>
      <c r="M51" s="1795"/>
    </row>
    <row r="52" spans="4:13" x14ac:dyDescent="0.25">
      <c r="E52" s="1795"/>
      <c r="F52" s="1795"/>
      <c r="G52" s="1795"/>
      <c r="H52" s="1795"/>
      <c r="I52" s="1795"/>
      <c r="J52" s="1795"/>
      <c r="K52" s="1795"/>
      <c r="L52" s="1795"/>
      <c r="M52" s="1795"/>
    </row>
    <row r="54" spans="4:13" x14ac:dyDescent="0.25">
      <c r="D54" s="11">
        <v>42996</v>
      </c>
      <c r="E54" s="1795" t="s">
        <v>1093</v>
      </c>
      <c r="F54" s="1795"/>
      <c r="G54" s="1795"/>
      <c r="H54" s="1795"/>
      <c r="I54" s="1795"/>
      <c r="J54" s="1795"/>
      <c r="K54" s="1795"/>
      <c r="L54" s="1795"/>
      <c r="M54" s="1795"/>
    </row>
    <row r="55" spans="4:13" x14ac:dyDescent="0.25">
      <c r="E55" s="1795"/>
      <c r="F55" s="1795"/>
      <c r="G55" s="1795"/>
      <c r="H55" s="1795"/>
      <c r="I55" s="1795"/>
      <c r="J55" s="1795"/>
      <c r="K55" s="1795"/>
      <c r="L55" s="1795"/>
      <c r="M55" s="1795"/>
    </row>
    <row r="56" spans="4:13" x14ac:dyDescent="0.25">
      <c r="E56" s="1795"/>
      <c r="F56" s="1795"/>
      <c r="G56" s="1795"/>
      <c r="H56" s="1795"/>
      <c r="I56" s="1795"/>
      <c r="J56" s="1795"/>
      <c r="K56" s="1795"/>
      <c r="L56" s="1795"/>
      <c r="M56" s="1795"/>
    </row>
    <row r="57" spans="4:13" x14ac:dyDescent="0.25">
      <c r="E57" s="1795"/>
      <c r="F57" s="1795"/>
      <c r="G57" s="1795"/>
      <c r="H57" s="1795"/>
      <c r="I57" s="1795"/>
      <c r="J57" s="1795"/>
      <c r="K57" s="1795"/>
      <c r="L57" s="1795"/>
      <c r="M57" s="1795"/>
    </row>
    <row r="58" spans="4:13" x14ac:dyDescent="0.25">
      <c r="E58" s="1795"/>
      <c r="F58" s="1795"/>
      <c r="G58" s="1795"/>
      <c r="H58" s="1795"/>
      <c r="I58" s="1795"/>
      <c r="J58" s="1795"/>
      <c r="K58" s="1795"/>
      <c r="L58" s="1795"/>
      <c r="M58" s="1795"/>
    </row>
    <row r="59" spans="4:13" x14ac:dyDescent="0.25">
      <c r="E59" s="1795"/>
      <c r="F59" s="1795"/>
      <c r="G59" s="1795"/>
      <c r="H59" s="1795"/>
      <c r="I59" s="1795"/>
      <c r="J59" s="1795"/>
      <c r="K59" s="1795"/>
      <c r="L59" s="1795"/>
      <c r="M59" s="1795"/>
    </row>
    <row r="60" spans="4:13" x14ac:dyDescent="0.25">
      <c r="E60" s="1795"/>
      <c r="F60" s="1795"/>
      <c r="G60" s="1795"/>
      <c r="H60" s="1795"/>
      <c r="I60" s="1795"/>
      <c r="J60" s="1795"/>
      <c r="K60" s="1795"/>
      <c r="L60" s="1795"/>
      <c r="M60" s="1795"/>
    </row>
    <row r="62" spans="4:13" x14ac:dyDescent="0.25">
      <c r="D62" s="11">
        <v>43536</v>
      </c>
      <c r="E62" s="1795" t="s">
        <v>1108</v>
      </c>
      <c r="F62" s="1795"/>
      <c r="G62" s="1795"/>
      <c r="H62" s="1795"/>
      <c r="I62" s="1795"/>
      <c r="J62" s="1795"/>
      <c r="K62" s="1795"/>
      <c r="L62" s="1795"/>
      <c r="M62" s="1795"/>
    </row>
    <row r="63" spans="4:13" x14ac:dyDescent="0.25">
      <c r="E63" s="1795"/>
      <c r="F63" s="1795"/>
      <c r="G63" s="1795"/>
      <c r="H63" s="1795"/>
      <c r="I63" s="1795"/>
      <c r="J63" s="1795"/>
      <c r="K63" s="1795"/>
      <c r="L63" s="1795"/>
      <c r="M63" s="1795"/>
    </row>
    <row r="64" spans="4:13" x14ac:dyDescent="0.25">
      <c r="E64" s="1795"/>
      <c r="F64" s="1795"/>
      <c r="G64" s="1795"/>
      <c r="H64" s="1795"/>
      <c r="I64" s="1795"/>
      <c r="J64" s="1795"/>
      <c r="K64" s="1795"/>
      <c r="L64" s="1795"/>
      <c r="M64" s="1795"/>
    </row>
    <row r="65" spans="4:13" x14ac:dyDescent="0.25">
      <c r="E65" s="1795"/>
      <c r="F65" s="1795"/>
      <c r="G65" s="1795"/>
      <c r="H65" s="1795"/>
      <c r="I65" s="1795"/>
      <c r="J65" s="1795"/>
      <c r="K65" s="1795"/>
      <c r="L65" s="1795"/>
      <c r="M65" s="1795"/>
    </row>
    <row r="66" spans="4:13" x14ac:dyDescent="0.25">
      <c r="E66" s="1795"/>
      <c r="F66" s="1795"/>
      <c r="G66" s="1795"/>
      <c r="H66" s="1795"/>
      <c r="I66" s="1795"/>
      <c r="J66" s="1795"/>
      <c r="K66" s="1795"/>
      <c r="L66" s="1795"/>
      <c r="M66" s="1795"/>
    </row>
    <row r="67" spans="4:13" x14ac:dyDescent="0.25">
      <c r="E67" s="1795"/>
      <c r="F67" s="1795"/>
      <c r="G67" s="1795"/>
      <c r="H67" s="1795"/>
      <c r="I67" s="1795"/>
      <c r="J67" s="1795"/>
      <c r="K67" s="1795"/>
      <c r="L67" s="1795"/>
      <c r="M67" s="1795"/>
    </row>
    <row r="68" spans="4:13" x14ac:dyDescent="0.25">
      <c r="E68" s="1795"/>
      <c r="F68" s="1795"/>
      <c r="G68" s="1795"/>
      <c r="H68" s="1795"/>
      <c r="I68" s="1795"/>
      <c r="J68" s="1795"/>
      <c r="K68" s="1795"/>
      <c r="L68" s="1795"/>
      <c r="M68" s="1795"/>
    </row>
    <row r="70" spans="4:13" x14ac:dyDescent="0.25">
      <c r="D70" s="11">
        <v>43605</v>
      </c>
      <c r="E70" s="1795" t="s">
        <v>1223</v>
      </c>
      <c r="F70" s="1795"/>
      <c r="G70" s="1795"/>
      <c r="H70" s="1795"/>
      <c r="I70" s="1795"/>
      <c r="J70" s="1795"/>
      <c r="K70" s="1795"/>
      <c r="L70" s="1795"/>
      <c r="M70" s="1795"/>
    </row>
    <row r="71" spans="4:13" x14ac:dyDescent="0.25">
      <c r="E71" s="1795"/>
      <c r="F71" s="1795"/>
      <c r="G71" s="1795"/>
      <c r="H71" s="1795"/>
      <c r="I71" s="1795"/>
      <c r="J71" s="1795"/>
      <c r="K71" s="1795"/>
      <c r="L71" s="1795"/>
      <c r="M71" s="1795"/>
    </row>
    <row r="72" spans="4:13" x14ac:dyDescent="0.25">
      <c r="E72" s="1795"/>
      <c r="F72" s="1795"/>
      <c r="G72" s="1795"/>
      <c r="H72" s="1795"/>
      <c r="I72" s="1795"/>
      <c r="J72" s="1795"/>
      <c r="K72" s="1795"/>
      <c r="L72" s="1795"/>
      <c r="M72" s="1795"/>
    </row>
    <row r="73" spans="4:13" x14ac:dyDescent="0.25">
      <c r="E73" s="1795"/>
      <c r="F73" s="1795"/>
      <c r="G73" s="1795"/>
      <c r="H73" s="1795"/>
      <c r="I73" s="1795"/>
      <c r="J73" s="1795"/>
      <c r="K73" s="1795"/>
      <c r="L73" s="1795"/>
      <c r="M73" s="1795"/>
    </row>
    <row r="74" spans="4:13" x14ac:dyDescent="0.25">
      <c r="E74" s="1795"/>
      <c r="F74" s="1795"/>
      <c r="G74" s="1795"/>
      <c r="H74" s="1795"/>
      <c r="I74" s="1795"/>
      <c r="J74" s="1795"/>
      <c r="K74" s="1795"/>
      <c r="L74" s="1795"/>
      <c r="M74" s="1795"/>
    </row>
    <row r="75" spans="4:13" x14ac:dyDescent="0.25">
      <c r="E75" s="1795"/>
      <c r="F75" s="1795"/>
      <c r="G75" s="1795"/>
      <c r="H75" s="1795"/>
      <c r="I75" s="1795"/>
      <c r="J75" s="1795"/>
      <c r="K75" s="1795"/>
      <c r="L75" s="1795"/>
      <c r="M75" s="1795"/>
    </row>
    <row r="76" spans="4:13" x14ac:dyDescent="0.25">
      <c r="E76" s="1795"/>
      <c r="F76" s="1795"/>
      <c r="G76" s="1795"/>
      <c r="H76" s="1795"/>
      <c r="I76" s="1795"/>
      <c r="J76" s="1795"/>
      <c r="K76" s="1795"/>
      <c r="L76" s="1795"/>
      <c r="M76" s="1795"/>
    </row>
  </sheetData>
  <sheetProtection algorithmName="SHA-512" hashValue="0STBQ7IK/V4hd+jN47iJTluk25t6vUT7k04iBUAIdstUU5IF3/igU2uf02KZ3cHDrEpCQkQHE5zUSmloh+F84Q==" saltValue="XYTlHxlxsaFTwlMPMluC1g==" spinCount="100000" sheet="1" objects="1" scenarios="1"/>
  <mergeCells count="9">
    <mergeCell ref="E70:M76"/>
    <mergeCell ref="E62:M68"/>
    <mergeCell ref="E54:M60"/>
    <mergeCell ref="E46:M52"/>
    <mergeCell ref="E5:M13"/>
    <mergeCell ref="E14:M20"/>
    <mergeCell ref="E22:M28"/>
    <mergeCell ref="E30:M36"/>
    <mergeCell ref="E38:M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dimension ref="A1:AH983"/>
  <sheetViews>
    <sheetView view="pageBreakPreview" zoomScaleNormal="100" zoomScaleSheetLayoutView="100" workbookViewId="0">
      <selection activeCell="L17" sqref="L17"/>
    </sheetView>
  </sheetViews>
  <sheetFormatPr defaultRowHeight="15" x14ac:dyDescent="0.25"/>
  <cols>
    <col min="1" max="1" width="20.140625" style="1" customWidth="1"/>
    <col min="2" max="2" width="13.140625" style="1" customWidth="1"/>
    <col min="3" max="3" width="12.28515625" style="1" customWidth="1"/>
    <col min="4" max="4" width="11.7109375" style="1" customWidth="1"/>
    <col min="5" max="5" width="10.85546875" style="1" customWidth="1"/>
    <col min="6" max="6" width="11.140625" style="1" customWidth="1"/>
    <col min="7" max="7" width="14" style="1" customWidth="1"/>
    <col min="8" max="8" width="14.7109375" style="1" customWidth="1"/>
    <col min="9" max="9" width="14.140625" style="1" customWidth="1"/>
    <col min="10" max="10" width="14.42578125" style="1" customWidth="1"/>
    <col min="11" max="11" width="15.28515625" style="1" customWidth="1"/>
    <col min="12" max="12" width="14.7109375" style="1" customWidth="1"/>
    <col min="13" max="13" width="10.42578125" style="1" customWidth="1"/>
    <col min="14" max="14" width="15.140625" style="1" customWidth="1"/>
    <col min="15" max="15" width="11.85546875" style="1" customWidth="1"/>
    <col min="16" max="16" width="17.28515625" style="1" customWidth="1"/>
    <col min="17" max="17" width="12.28515625" style="1" customWidth="1"/>
    <col min="18" max="18" width="17.7109375" style="1" customWidth="1"/>
    <col min="19" max="19" width="12.28515625" style="1" customWidth="1"/>
    <col min="20" max="20" width="17.28515625" style="1" customWidth="1"/>
    <col min="21" max="21" width="17.5703125" style="1" customWidth="1"/>
    <col min="22" max="22" width="12.28515625" style="1" customWidth="1"/>
    <col min="23" max="23" width="15.7109375" style="1" customWidth="1"/>
    <col min="24" max="24" width="12.5703125" style="1" customWidth="1"/>
    <col min="25" max="25" width="11.85546875" style="1" customWidth="1"/>
    <col min="26" max="26" width="11.28515625" style="1" customWidth="1"/>
    <col min="27" max="27" width="35.28515625" style="1" bestFit="1" customWidth="1"/>
    <col min="28" max="28" width="7.5703125" style="1" bestFit="1" customWidth="1"/>
    <col min="29" max="29" width="13.140625" style="1" customWidth="1"/>
    <col min="30" max="30" width="15.85546875" style="1" customWidth="1"/>
    <col min="31" max="31" width="14.7109375" style="1" customWidth="1"/>
    <col min="32" max="16384" width="9.140625" style="1"/>
  </cols>
  <sheetData>
    <row r="1" spans="1:16" ht="24.75" customHeight="1" x14ac:dyDescent="0.25">
      <c r="A1" s="1322" t="s">
        <v>241</v>
      </c>
      <c r="B1" s="1323"/>
      <c r="C1" s="1323"/>
      <c r="D1" s="1295" t="s">
        <v>1109</v>
      </c>
      <c r="E1" s="1295"/>
      <c r="F1" s="1295"/>
      <c r="G1" s="1295"/>
      <c r="H1" s="1295"/>
      <c r="I1" s="1297" t="s">
        <v>242</v>
      </c>
      <c r="J1" s="1297"/>
      <c r="K1" s="1297"/>
      <c r="L1" s="519" t="s">
        <v>243</v>
      </c>
      <c r="M1" s="1297" t="s">
        <v>244</v>
      </c>
      <c r="N1" s="1297"/>
      <c r="O1" s="1297" t="s">
        <v>245</v>
      </c>
      <c r="P1" s="1326"/>
    </row>
    <row r="2" spans="1:16" ht="24.75" customHeight="1" thickBot="1" x14ac:dyDescent="0.3">
      <c r="A2" s="1324"/>
      <c r="B2" s="1325"/>
      <c r="C2" s="1325"/>
      <c r="D2" s="1296"/>
      <c r="E2" s="1296"/>
      <c r="F2" s="1296"/>
      <c r="G2" s="1296"/>
      <c r="H2" s="1296"/>
      <c r="I2" s="1302" t="s">
        <v>246</v>
      </c>
      <c r="J2" s="1302"/>
      <c r="K2" s="1302"/>
      <c r="L2" s="520">
        <v>8</v>
      </c>
      <c r="M2" s="1302" t="s">
        <v>739</v>
      </c>
      <c r="N2" s="1302"/>
      <c r="O2" s="1327">
        <v>43605</v>
      </c>
      <c r="P2" s="1328"/>
    </row>
    <row r="3" spans="1:16" ht="36" x14ac:dyDescent="0.55000000000000004">
      <c r="A3" s="1467" t="s">
        <v>713</v>
      </c>
      <c r="B3" s="1467"/>
      <c r="C3" s="1467"/>
      <c r="D3" s="1467"/>
      <c r="E3" s="1467"/>
      <c r="F3" s="1467"/>
      <c r="G3" s="1467"/>
      <c r="H3" s="1467"/>
      <c r="I3" s="1467"/>
      <c r="J3" s="1467"/>
      <c r="K3" s="1467"/>
    </row>
    <row r="4" spans="1:16" ht="19.5" thickBot="1" x14ac:dyDescent="0.35">
      <c r="A4" s="372" t="s">
        <v>1224</v>
      </c>
      <c r="E4" s="373"/>
      <c r="F4" s="373"/>
      <c r="G4" s="373"/>
      <c r="H4" s="373"/>
      <c r="I4" s="373"/>
      <c r="J4" s="373"/>
      <c r="L4" s="111" t="s">
        <v>1063</v>
      </c>
    </row>
    <row r="5" spans="1:16" ht="18.75" customHeight="1" x14ac:dyDescent="0.3">
      <c r="A5" s="1273" t="s">
        <v>1064</v>
      </c>
      <c r="B5" s="1273"/>
      <c r="C5" s="1273"/>
      <c r="D5" s="517" t="str">
        <f>IF('RAPPORTO ISPEZIONE'!D29="","","X")</f>
        <v>X</v>
      </c>
      <c r="E5" s="373"/>
      <c r="F5" s="1392" t="s">
        <v>483</v>
      </c>
      <c r="G5" s="1392"/>
      <c r="H5" s="1495">
        <f>IF('RAPPORTO ISPEZIONE'!D7="","",'RAPPORTO ISPEZIONE'!D7)</f>
        <v>44041</v>
      </c>
      <c r="I5" s="1496"/>
      <c r="J5" s="373"/>
      <c r="L5" s="374"/>
      <c r="M5" s="1483" t="s">
        <v>1059</v>
      </c>
      <c r="N5" s="1484"/>
      <c r="O5" s="1484"/>
      <c r="P5" s="1485"/>
    </row>
    <row r="6" spans="1:16" ht="18.75" x14ac:dyDescent="0.3">
      <c r="A6" s="1273" t="s">
        <v>1050</v>
      </c>
      <c r="B6" s="1392"/>
      <c r="C6" s="1399" t="str">
        <f>IF('RAPPORTO ISPEZIONE'!J7="","-",'RAPPORTO ISPEZIONE'!J7)</f>
        <v>CP200077</v>
      </c>
      <c r="D6" s="1400"/>
      <c r="E6" s="373"/>
      <c r="F6" s="1392"/>
      <c r="G6" s="1392"/>
      <c r="H6" s="1447"/>
      <c r="I6" s="1448"/>
      <c r="J6" s="373"/>
      <c r="L6" s="375"/>
      <c r="M6" s="1486"/>
      <c r="N6" s="1487"/>
      <c r="O6" s="1487"/>
      <c r="P6" s="1488"/>
    </row>
    <row r="7" spans="1:16" ht="18.75" x14ac:dyDescent="0.3">
      <c r="A7" s="1392"/>
      <c r="B7" s="1392"/>
      <c r="C7" s="1406"/>
      <c r="D7" s="1407"/>
      <c r="E7" s="373"/>
      <c r="F7" s="1392"/>
      <c r="G7" s="1392"/>
      <c r="H7" s="1445">
        <f>IF(H6="",H5,H6)</f>
        <v>44041</v>
      </c>
      <c r="I7" s="1446"/>
      <c r="J7" s="373"/>
      <c r="L7" s="376"/>
      <c r="M7" s="1489" t="s">
        <v>1060</v>
      </c>
      <c r="N7" s="1490"/>
      <c r="O7" s="1490"/>
      <c r="P7" s="1491"/>
    </row>
    <row r="8" spans="1:16" ht="18.75" x14ac:dyDescent="0.3">
      <c r="A8" s="1392"/>
      <c r="B8" s="1392"/>
      <c r="C8" s="1359" t="str">
        <f>IF(C7="",C6,C7)</f>
        <v>CP200077</v>
      </c>
      <c r="D8" s="1360"/>
      <c r="E8" s="373"/>
      <c r="F8" s="1392" t="s">
        <v>484</v>
      </c>
      <c r="G8" s="1392"/>
      <c r="H8" s="1393">
        <f>'RAPPORTO ISPEZIONE'!F7</f>
        <v>0.37013888888888885</v>
      </c>
      <c r="I8" s="1394"/>
      <c r="J8" s="373"/>
      <c r="L8" s="376"/>
      <c r="M8" s="1486"/>
      <c r="N8" s="1487"/>
      <c r="O8" s="1487"/>
      <c r="P8" s="1488"/>
    </row>
    <row r="9" spans="1:16" ht="18.75" x14ac:dyDescent="0.3">
      <c r="A9" s="1392" t="s">
        <v>1051</v>
      </c>
      <c r="B9" s="1392"/>
      <c r="C9" s="1399">
        <f>IF('RAPPORTO ISPEZIONE'!J8="","-",'RAPPORTO ISPEZIONE'!J8)</f>
        <v>8601</v>
      </c>
      <c r="D9" s="1400"/>
      <c r="E9" s="373"/>
      <c r="F9" s="1392"/>
      <c r="G9" s="1392"/>
      <c r="H9" s="1395"/>
      <c r="I9" s="1396"/>
      <c r="J9" s="373"/>
      <c r="L9" s="377"/>
      <c r="M9" s="1489" t="s">
        <v>1061</v>
      </c>
      <c r="N9" s="1490"/>
      <c r="O9" s="1490"/>
      <c r="P9" s="1491"/>
    </row>
    <row r="10" spans="1:16" ht="18.75" x14ac:dyDescent="0.3">
      <c r="A10" s="1392"/>
      <c r="B10" s="1392"/>
      <c r="C10" s="1406"/>
      <c r="D10" s="1407"/>
      <c r="E10" s="373"/>
      <c r="F10" s="1392"/>
      <c r="G10" s="1392"/>
      <c r="H10" s="1397">
        <f>IF(H9="",H8,H9)</f>
        <v>0.37013888888888885</v>
      </c>
      <c r="I10" s="1398"/>
      <c r="J10" s="373"/>
      <c r="L10" s="377"/>
      <c r="M10" s="1486"/>
      <c r="N10" s="1487"/>
      <c r="O10" s="1487"/>
      <c r="P10" s="1488"/>
    </row>
    <row r="11" spans="1:16" ht="18.75" x14ac:dyDescent="0.3">
      <c r="A11" s="1392"/>
      <c r="B11" s="1392"/>
      <c r="C11" s="1359">
        <f>IF(C10="",C9,C10)</f>
        <v>8601</v>
      </c>
      <c r="D11" s="1360"/>
      <c r="E11" s="378"/>
      <c r="F11" s="1392" t="s">
        <v>485</v>
      </c>
      <c r="G11" s="1392"/>
      <c r="H11" s="1393">
        <f>'RAPPORTO ISPEZIONE'!D286</f>
        <v>0.4513888888888889</v>
      </c>
      <c r="I11" s="1394"/>
      <c r="J11" s="378"/>
      <c r="K11" s="378"/>
      <c r="L11" s="379"/>
      <c r="M11" s="1489" t="s">
        <v>1062</v>
      </c>
      <c r="N11" s="1490"/>
      <c r="O11" s="1490"/>
      <c r="P11" s="1491"/>
    </row>
    <row r="12" spans="1:16" ht="19.5" thickBot="1" x14ac:dyDescent="0.35">
      <c r="A12" s="1392" t="s">
        <v>1110</v>
      </c>
      <c r="B12" s="1392"/>
      <c r="C12" s="1399" t="str">
        <f>IF('RAPPORTO ISPEZIONE'!J9="","-",'RAPPORTO ISPEZIONE'!J9)</f>
        <v>ORD2003061B</v>
      </c>
      <c r="D12" s="1400"/>
      <c r="E12" s="373"/>
      <c r="F12" s="1392"/>
      <c r="G12" s="1392"/>
      <c r="H12" s="1395"/>
      <c r="I12" s="1396"/>
      <c r="J12" s="373"/>
      <c r="K12" s="378"/>
      <c r="L12" s="380"/>
      <c r="M12" s="1492"/>
      <c r="N12" s="1493"/>
      <c r="O12" s="1493"/>
      <c r="P12" s="1494"/>
    </row>
    <row r="13" spans="1:16" ht="18.75" x14ac:dyDescent="0.3">
      <c r="A13" s="1392"/>
      <c r="B13" s="1392"/>
      <c r="C13" s="1406"/>
      <c r="D13" s="1407"/>
      <c r="E13" s="373"/>
      <c r="F13" s="1392"/>
      <c r="G13" s="1392"/>
      <c r="H13" s="1397">
        <f>IF(H12="",H11,H12)</f>
        <v>0.4513888888888889</v>
      </c>
      <c r="I13" s="1398"/>
      <c r="J13" s="373"/>
      <c r="K13" s="378"/>
      <c r="L13" s="378"/>
    </row>
    <row r="14" spans="1:16" ht="18.75" x14ac:dyDescent="0.3">
      <c r="A14" s="1392"/>
      <c r="B14" s="1392"/>
      <c r="C14" s="1408" t="str">
        <f>IF(C13="",C12,C13)</f>
        <v>ORD2003061B</v>
      </c>
      <c r="D14" s="1409"/>
      <c r="E14" s="373"/>
      <c r="F14" s="1405" t="s">
        <v>742</v>
      </c>
      <c r="G14" s="1405"/>
      <c r="H14" s="1406" t="s">
        <v>1344</v>
      </c>
      <c r="I14" s="1407"/>
      <c r="J14" s="373"/>
      <c r="K14" s="378"/>
      <c r="L14" s="378"/>
    </row>
    <row r="15" spans="1:16" ht="18.75" x14ac:dyDescent="0.3">
      <c r="A15" s="1392" t="s">
        <v>486</v>
      </c>
      <c r="B15" s="1392"/>
      <c r="C15" s="1392"/>
      <c r="D15" s="381" t="str">
        <f>IF(AND('RAPPORTO ISPEZIONE'!E9="X",'RAPPORTO ISPEZIONE'!F10="X"),"X","")</f>
        <v>X</v>
      </c>
      <c r="E15" s="373"/>
      <c r="F15" s="1405" t="s">
        <v>683</v>
      </c>
      <c r="G15" s="1405"/>
      <c r="H15" s="1447">
        <v>45136</v>
      </c>
      <c r="I15" s="1448"/>
      <c r="J15" s="373"/>
      <c r="K15" s="378"/>
      <c r="L15" s="378"/>
    </row>
    <row r="16" spans="1:16" ht="18.75" x14ac:dyDescent="0.3">
      <c r="A16" s="1392"/>
      <c r="B16" s="1392"/>
      <c r="C16" s="1392"/>
      <c r="D16" s="468"/>
      <c r="E16" s="373"/>
      <c r="F16" s="1405" t="s">
        <v>1065</v>
      </c>
      <c r="G16" s="1405"/>
      <c r="H16" s="1406"/>
      <c r="I16" s="1407"/>
      <c r="J16" s="373"/>
    </row>
    <row r="17" spans="1:14" ht="18.75" x14ac:dyDescent="0.3">
      <c r="A17" s="1392"/>
      <c r="B17" s="1392"/>
      <c r="C17" s="1392"/>
      <c r="D17" s="12" t="str">
        <f>IF(D15="",IF(D16="","",D16),D15)</f>
        <v>X</v>
      </c>
      <c r="E17" s="373"/>
      <c r="J17" s="373"/>
    </row>
    <row r="18" spans="1:14" ht="18.75" x14ac:dyDescent="0.3">
      <c r="A18" s="1392" t="s">
        <v>755</v>
      </c>
      <c r="B18" s="1392"/>
      <c r="C18" s="1392"/>
      <c r="D18" s="381" t="str">
        <f>IF('RAPPORTO ISPEZIONE'!L136="X","X","")</f>
        <v/>
      </c>
      <c r="E18" s="373"/>
      <c r="F18" s="1392" t="s">
        <v>540</v>
      </c>
      <c r="G18" s="1392"/>
      <c r="H18" s="1399" t="str">
        <f>'RAPPORTO ISPEZIONE'!D8</f>
        <v>Pozzi Cristiano</v>
      </c>
      <c r="I18" s="1400"/>
      <c r="J18" s="373"/>
      <c r="L18" s="696"/>
    </row>
    <row r="19" spans="1:14" ht="18.75" x14ac:dyDescent="0.3">
      <c r="A19" s="1392"/>
      <c r="B19" s="1392"/>
      <c r="C19" s="1392"/>
      <c r="D19" s="468"/>
      <c r="E19" s="373"/>
      <c r="F19" s="1392"/>
      <c r="G19" s="1392"/>
      <c r="H19" s="1415"/>
      <c r="I19" s="1415"/>
      <c r="J19" s="373"/>
    </row>
    <row r="20" spans="1:14" ht="18.75" x14ac:dyDescent="0.3">
      <c r="A20" s="1403" t="s">
        <v>1128</v>
      </c>
      <c r="B20" s="1404"/>
      <c r="C20" s="1404"/>
      <c r="D20" s="353" t="str">
        <f>IF(D18="",IF(D19="","",D19),D18)</f>
        <v/>
      </c>
      <c r="E20" s="373"/>
      <c r="F20" s="1392"/>
      <c r="G20" s="1392"/>
      <c r="H20" s="1359" t="str">
        <f>IF(H19="",H18,H19)</f>
        <v>Pozzi Cristiano</v>
      </c>
      <c r="I20" s="1360"/>
      <c r="J20" s="373"/>
    </row>
    <row r="21" spans="1:14" ht="18.75" x14ac:dyDescent="0.3">
      <c r="E21" s="373"/>
      <c r="J21" s="373"/>
    </row>
    <row r="22" spans="1:14" ht="18.75" x14ac:dyDescent="0.3">
      <c r="E22" s="373"/>
      <c r="F22" s="1405" t="s">
        <v>542</v>
      </c>
      <c r="G22" s="1405"/>
      <c r="H22" s="1415" t="s">
        <v>544</v>
      </c>
      <c r="I22" s="1415"/>
    </row>
    <row r="23" spans="1:14" ht="18.75" x14ac:dyDescent="0.3">
      <c r="E23" s="373"/>
      <c r="F23" s="378"/>
      <c r="G23" s="378"/>
    </row>
    <row r="24" spans="1:14" ht="18.75" x14ac:dyDescent="0.3">
      <c r="A24" s="1405" t="s">
        <v>398</v>
      </c>
      <c r="B24" s="1405"/>
      <c r="C24" s="1402" t="str">
        <f>IF('RAPPORTO ISPEZIONE'!J15="","-",'RAPPORTO ISPEZIONE'!J15)</f>
        <v>IT00BSE01234F</v>
      </c>
      <c r="D24" s="1402"/>
      <c r="E24" s="1402"/>
      <c r="F24" s="1362" t="s">
        <v>1599</v>
      </c>
      <c r="G24" s="1362"/>
      <c r="H24" s="1362"/>
      <c r="I24" s="1435" t="str">
        <f>IF(F24="",C24,F24)</f>
        <v>BSE03161F</v>
      </c>
      <c r="J24" s="1435"/>
      <c r="K24" s="1435"/>
    </row>
    <row r="26" spans="1:14" x14ac:dyDescent="0.25">
      <c r="A26" s="1392" t="s">
        <v>399</v>
      </c>
      <c r="B26" s="1392"/>
      <c r="C26" s="1361" t="str">
        <f>'RAPPORTO ISPEZIONE'!E12</f>
        <v>PINCO PALLINO S.R.L.</v>
      </c>
      <c r="D26" s="1361"/>
      <c r="E26" s="1361"/>
      <c r="F26" s="1361"/>
      <c r="G26" s="1361"/>
      <c r="H26" s="1361"/>
      <c r="I26" s="1361"/>
      <c r="J26" s="1361"/>
      <c r="K26" s="1361"/>
      <c r="L26" s="382"/>
    </row>
    <row r="27" spans="1:14" x14ac:dyDescent="0.25">
      <c r="A27" s="1392"/>
      <c r="B27" s="1392"/>
      <c r="C27" s="1389"/>
      <c r="D27" s="1390"/>
      <c r="E27" s="1390"/>
      <c r="F27" s="1390"/>
      <c r="G27" s="1390"/>
      <c r="H27" s="1390"/>
      <c r="I27" s="1390"/>
      <c r="J27" s="1390"/>
      <c r="K27" s="1391"/>
      <c r="L27" s="382"/>
    </row>
    <row r="28" spans="1:14" ht="18.75" x14ac:dyDescent="0.25">
      <c r="A28" s="1392"/>
      <c r="B28" s="1392"/>
      <c r="C28" s="1416" t="str">
        <f>IF(C27="",C26,C27)</f>
        <v>PINCO PALLINO S.R.L.</v>
      </c>
      <c r="D28" s="1416"/>
      <c r="E28" s="1416"/>
      <c r="F28" s="1416"/>
      <c r="G28" s="1416"/>
      <c r="H28" s="1416"/>
      <c r="I28" s="1416"/>
      <c r="J28" s="1416"/>
      <c r="K28" s="1416"/>
      <c r="L28" s="382"/>
    </row>
    <row r="29" spans="1:14" x14ac:dyDescent="0.25">
      <c r="A29" s="382"/>
      <c r="B29" s="382"/>
      <c r="C29" s="382"/>
      <c r="D29" s="382"/>
      <c r="E29" s="382"/>
      <c r="F29" s="382"/>
      <c r="G29" s="382"/>
      <c r="H29" s="382"/>
      <c r="I29" s="382"/>
      <c r="J29" s="382"/>
      <c r="K29" s="382"/>
      <c r="L29" s="382"/>
    </row>
    <row r="30" spans="1:14" x14ac:dyDescent="0.25">
      <c r="A30" s="1392" t="s">
        <v>400</v>
      </c>
      <c r="B30" s="1392"/>
      <c r="C30" s="1402" t="str">
        <f>'RAPPORTO ISPEZIONE'!E14</f>
        <v>VIA BRESCIA, 128 - CREMONA (CR)</v>
      </c>
      <c r="D30" s="1402"/>
      <c r="E30" s="1402"/>
      <c r="F30" s="1402"/>
      <c r="G30" s="1402"/>
      <c r="H30" s="1402"/>
      <c r="I30" s="1402"/>
      <c r="J30" s="1402"/>
      <c r="K30" s="1402"/>
      <c r="L30" s="382"/>
      <c r="M30" s="382"/>
      <c r="N30" s="382"/>
    </row>
    <row r="31" spans="1:14" x14ac:dyDescent="0.25">
      <c r="A31" s="1392"/>
      <c r="B31" s="1392"/>
      <c r="C31" s="1389"/>
      <c r="D31" s="1390"/>
      <c r="E31" s="1390"/>
      <c r="F31" s="1390"/>
      <c r="G31" s="1390"/>
      <c r="H31" s="1390"/>
      <c r="I31" s="1390"/>
      <c r="J31" s="1390"/>
      <c r="K31" s="1391"/>
      <c r="L31" s="382"/>
      <c r="M31" s="382"/>
      <c r="N31" s="382"/>
    </row>
    <row r="32" spans="1:14" ht="18.75" x14ac:dyDescent="0.25">
      <c r="A32" s="1392"/>
      <c r="B32" s="1392"/>
      <c r="C32" s="1388" t="str">
        <f>IF(C31="",C30,C31)</f>
        <v>VIA BRESCIA, 128 - CREMONA (CR)</v>
      </c>
      <c r="D32" s="1388"/>
      <c r="E32" s="1388"/>
      <c r="F32" s="1388"/>
      <c r="G32" s="1388"/>
      <c r="H32" s="1388"/>
      <c r="I32" s="1388"/>
      <c r="J32" s="1388"/>
      <c r="K32" s="1388"/>
      <c r="L32" s="382"/>
      <c r="M32" s="382"/>
      <c r="N32" s="382"/>
    </row>
    <row r="33" spans="1:27" x14ac:dyDescent="0.25">
      <c r="A33" s="382"/>
      <c r="B33" s="382"/>
      <c r="C33" s="382"/>
      <c r="D33" s="382"/>
      <c r="E33" s="382"/>
      <c r="F33" s="382"/>
      <c r="G33" s="382"/>
      <c r="H33" s="382"/>
      <c r="I33" s="382"/>
      <c r="J33" s="382"/>
      <c r="K33" s="382"/>
      <c r="L33" s="382"/>
      <c r="M33" s="382"/>
      <c r="N33" s="382"/>
    </row>
    <row r="34" spans="1:27" x14ac:dyDescent="0.25">
      <c r="A34" s="1392" t="s">
        <v>401</v>
      </c>
      <c r="B34" s="1392"/>
      <c r="C34" s="1402" t="str">
        <f>'RAPPORTO ISPEZIONE'!E13</f>
        <v>VIA VALCAMONICA, 10/A - BRESCIA (BS)</v>
      </c>
      <c r="D34" s="1402"/>
      <c r="E34" s="1402"/>
      <c r="F34" s="1402"/>
      <c r="G34" s="1402"/>
      <c r="H34" s="1402"/>
      <c r="I34" s="1402"/>
      <c r="J34" s="1402"/>
      <c r="K34" s="1402"/>
      <c r="L34" s="382"/>
      <c r="M34" s="382"/>
      <c r="N34" s="382"/>
    </row>
    <row r="35" spans="1:27" x14ac:dyDescent="0.25">
      <c r="A35" s="1392"/>
      <c r="B35" s="1392"/>
      <c r="C35" s="1389"/>
      <c r="D35" s="1390"/>
      <c r="E35" s="1390"/>
      <c r="F35" s="1390"/>
      <c r="G35" s="1390"/>
      <c r="H35" s="1390"/>
      <c r="I35" s="1390"/>
      <c r="J35" s="1390"/>
      <c r="K35" s="1391"/>
      <c r="L35" s="382"/>
      <c r="M35" s="382"/>
      <c r="N35" s="382"/>
    </row>
    <row r="36" spans="1:27" ht="18.75" x14ac:dyDescent="0.25">
      <c r="A36" s="1392"/>
      <c r="B36" s="1392"/>
      <c r="C36" s="1388" t="str">
        <f>IF(C35="",C34,C35)</f>
        <v>VIA VALCAMONICA, 10/A - BRESCIA (BS)</v>
      </c>
      <c r="D36" s="1388"/>
      <c r="E36" s="1388"/>
      <c r="F36" s="1388"/>
      <c r="G36" s="1388"/>
      <c r="H36" s="1388"/>
      <c r="I36" s="1388"/>
      <c r="J36" s="1388"/>
      <c r="K36" s="1388"/>
      <c r="L36" s="382"/>
      <c r="M36" s="382"/>
      <c r="N36" s="382"/>
      <c r="AA36" s="5"/>
    </row>
    <row r="37" spans="1:27" x14ac:dyDescent="0.25">
      <c r="A37" s="382"/>
      <c r="B37" s="382"/>
      <c r="C37" s="382"/>
      <c r="D37" s="382"/>
      <c r="E37" s="382"/>
      <c r="F37" s="382"/>
      <c r="G37" s="382"/>
      <c r="H37" s="382"/>
      <c r="I37" s="382"/>
      <c r="J37" s="382"/>
      <c r="K37" s="382"/>
      <c r="L37" s="382"/>
      <c r="M37" s="382"/>
      <c r="N37" s="382"/>
      <c r="AA37" s="5"/>
    </row>
    <row r="38" spans="1:27" ht="18.75" x14ac:dyDescent="0.3">
      <c r="A38" s="1405" t="s">
        <v>406</v>
      </c>
      <c r="B38" s="1405"/>
      <c r="C38" s="1401" t="str">
        <f>IF('RAPPORTO ISPEZIONE'!E15="","-",'RAPPORTO ISPEZIONE'!E15)</f>
        <v>-</v>
      </c>
      <c r="D38" s="1401"/>
      <c r="E38" s="1401"/>
      <c r="F38" s="1362"/>
      <c r="G38" s="1362"/>
      <c r="H38" s="1362"/>
      <c r="I38" s="1435" t="str">
        <f>IF(F38="",C38,F38)</f>
        <v>-</v>
      </c>
      <c r="J38" s="1435"/>
      <c r="K38" s="1435"/>
      <c r="L38" s="382"/>
      <c r="M38" s="382"/>
      <c r="N38" s="382"/>
    </row>
    <row r="39" spans="1:27" x14ac:dyDescent="0.25">
      <c r="A39" s="382"/>
      <c r="B39" s="382"/>
      <c r="C39" s="382"/>
      <c r="D39" s="382"/>
      <c r="E39" s="382"/>
      <c r="F39" s="382"/>
      <c r="G39" s="382"/>
      <c r="H39" s="382"/>
      <c r="I39" s="382"/>
      <c r="J39" s="382"/>
      <c r="K39" s="382"/>
      <c r="L39" s="382"/>
      <c r="M39" s="382"/>
      <c r="N39" s="382"/>
    </row>
    <row r="40" spans="1:27" x14ac:dyDescent="0.25">
      <c r="A40" s="1392" t="s">
        <v>402</v>
      </c>
      <c r="B40" s="1392"/>
      <c r="C40" s="1402" t="str">
        <f>'RAPPORTO ISPEZIONE'!D71</f>
        <v>CENTRALE TERMICA</v>
      </c>
      <c r="D40" s="1402"/>
      <c r="E40" s="1402"/>
      <c r="F40" s="1402"/>
      <c r="G40" s="1402"/>
      <c r="H40" s="1402"/>
      <c r="I40" s="1402"/>
      <c r="J40" s="1402"/>
      <c r="K40" s="1402"/>
      <c r="L40" s="382"/>
      <c r="M40" s="382"/>
      <c r="N40" s="382"/>
      <c r="R40" s="3"/>
    </row>
    <row r="41" spans="1:27" x14ac:dyDescent="0.25">
      <c r="A41" s="1392"/>
      <c r="B41" s="1392"/>
      <c r="C41" s="1389" t="s">
        <v>1655</v>
      </c>
      <c r="D41" s="1390"/>
      <c r="E41" s="1390"/>
      <c r="F41" s="1390"/>
      <c r="G41" s="1390"/>
      <c r="H41" s="1390"/>
      <c r="I41" s="1390"/>
      <c r="J41" s="1390"/>
      <c r="K41" s="1391"/>
      <c r="L41" s="382"/>
      <c r="M41" s="382"/>
      <c r="N41" s="382"/>
      <c r="R41" s="3"/>
    </row>
    <row r="42" spans="1:27" ht="18.75" x14ac:dyDescent="0.25">
      <c r="A42" s="1392"/>
      <c r="B42" s="1392"/>
      <c r="C42" s="1388" t="str">
        <f>IF(C41="",C40,C41)</f>
        <v>NICCHIA POSTA IN PARETE CENTRALE TERMICA</v>
      </c>
      <c r="D42" s="1388"/>
      <c r="E42" s="1388"/>
      <c r="F42" s="1388"/>
      <c r="G42" s="1388"/>
      <c r="H42" s="1388"/>
      <c r="I42" s="1388"/>
      <c r="J42" s="1388"/>
      <c r="K42" s="1388"/>
      <c r="L42" s="382"/>
      <c r="M42" s="382"/>
      <c r="N42" s="382"/>
      <c r="R42" s="3"/>
    </row>
    <row r="43" spans="1:27" x14ac:dyDescent="0.25">
      <c r="A43" s="382"/>
      <c r="B43" s="382"/>
      <c r="C43" s="382"/>
      <c r="D43" s="382"/>
      <c r="E43" s="382"/>
      <c r="F43" s="382"/>
      <c r="G43" s="382"/>
      <c r="H43" s="382"/>
      <c r="I43" s="382"/>
      <c r="J43" s="382"/>
      <c r="K43" s="382"/>
      <c r="L43" s="382"/>
      <c r="M43" s="382"/>
      <c r="N43" s="382"/>
      <c r="R43" s="3"/>
    </row>
    <row r="44" spans="1:27" x14ac:dyDescent="0.25">
      <c r="A44" s="1392" t="s">
        <v>403</v>
      </c>
      <c r="B44" s="1392"/>
      <c r="C44" s="1402" t="str">
        <f>'RAPPORTO ISPEZIONE'!E18</f>
        <v>PRODUZIONE COGENERATORE "MASTER - MATRICOLA 3086"</v>
      </c>
      <c r="D44" s="1402"/>
      <c r="E44" s="1402"/>
      <c r="F44" s="1402"/>
      <c r="G44" s="1402"/>
      <c r="H44" s="1402"/>
      <c r="I44" s="1402"/>
      <c r="J44" s="1402"/>
      <c r="K44" s="1402"/>
      <c r="L44" s="382"/>
      <c r="M44" s="382"/>
      <c r="N44" s="382"/>
    </row>
    <row r="45" spans="1:27" x14ac:dyDescent="0.25">
      <c r="A45" s="1392"/>
      <c r="B45" s="1392"/>
      <c r="C45" s="1389" t="s">
        <v>1653</v>
      </c>
      <c r="D45" s="1390"/>
      <c r="E45" s="1390"/>
      <c r="F45" s="1390"/>
      <c r="G45" s="1390"/>
      <c r="H45" s="1390"/>
      <c r="I45" s="1390"/>
      <c r="J45" s="1390"/>
      <c r="K45" s="1391"/>
      <c r="L45" s="382"/>
      <c r="M45" s="382"/>
      <c r="N45" s="382"/>
    </row>
    <row r="46" spans="1:27" ht="18.75" x14ac:dyDescent="0.25">
      <c r="A46" s="1392"/>
      <c r="B46" s="1392"/>
      <c r="C46" s="1388" t="str">
        <f>IF(C45="",C44,C45)</f>
        <v>PRODUZIONE COGENERATORE MASTER - MATRICOLA 3086</v>
      </c>
      <c r="D46" s="1388"/>
      <c r="E46" s="1388"/>
      <c r="F46" s="1388"/>
      <c r="G46" s="1388"/>
      <c r="H46" s="1388"/>
      <c r="I46" s="1388"/>
      <c r="J46" s="1388"/>
      <c r="K46" s="1388"/>
      <c r="L46" s="382"/>
      <c r="M46" s="382"/>
      <c r="N46" s="382"/>
    </row>
    <row r="47" spans="1:27" x14ac:dyDescent="0.25">
      <c r="A47" s="382"/>
      <c r="B47" s="382"/>
      <c r="C47" s="382"/>
      <c r="D47" s="382"/>
      <c r="E47" s="382"/>
      <c r="F47" s="382"/>
      <c r="G47" s="382"/>
      <c r="H47" s="382"/>
      <c r="I47" s="382"/>
      <c r="J47" s="382"/>
      <c r="K47" s="382"/>
      <c r="L47" s="382"/>
      <c r="M47" s="382"/>
      <c r="N47" s="382"/>
    </row>
    <row r="48" spans="1:27" ht="15" customHeight="1" x14ac:dyDescent="0.25">
      <c r="A48" s="1392" t="s">
        <v>404</v>
      </c>
      <c r="B48" s="1392"/>
      <c r="D48" s="1392" t="s">
        <v>1114</v>
      </c>
      <c r="E48" s="1392"/>
      <c r="F48" s="383">
        <f>'RAPPORTO ISPEZIONE'!F70</f>
        <v>0</v>
      </c>
      <c r="G48" s="1392" t="s">
        <v>1115</v>
      </c>
      <c r="H48" s="1392"/>
      <c r="I48" s="383" t="str">
        <f>'RAPPORTO ISPEZIONE'!G70</f>
        <v>X</v>
      </c>
      <c r="J48" s="1392" t="s">
        <v>487</v>
      </c>
      <c r="K48" s="1392"/>
      <c r="L48" s="383">
        <f>'RAPPORTO ISPEZIONE'!H70</f>
        <v>0</v>
      </c>
      <c r="M48" s="382"/>
      <c r="N48" s="382"/>
      <c r="R48" s="3"/>
      <c r="S48" s="3"/>
    </row>
    <row r="49" spans="1:22" x14ac:dyDescent="0.25">
      <c r="A49" s="1392"/>
      <c r="B49" s="1392"/>
      <c r="D49" s="1392"/>
      <c r="E49" s="1392"/>
      <c r="F49" s="283"/>
      <c r="G49" s="1392"/>
      <c r="H49" s="1392"/>
      <c r="I49" s="283"/>
      <c r="J49" s="1392"/>
      <c r="K49" s="1392"/>
      <c r="L49" s="283"/>
      <c r="M49" s="382"/>
      <c r="N49" s="382"/>
      <c r="R49" s="3"/>
      <c r="S49" s="3"/>
    </row>
    <row r="50" spans="1:22" x14ac:dyDescent="0.25">
      <c r="A50" s="1392"/>
      <c r="B50" s="1392"/>
      <c r="D50" s="1392"/>
      <c r="E50" s="1392"/>
      <c r="F50" s="12">
        <f>IF(F49="",F48,F49)</f>
        <v>0</v>
      </c>
      <c r="G50" s="1392"/>
      <c r="H50" s="1392"/>
      <c r="I50" s="12" t="str">
        <f>IF(I49="",I48,I49)</f>
        <v>X</v>
      </c>
      <c r="J50" s="1392"/>
      <c r="K50" s="1392"/>
      <c r="L50" s="12">
        <f>IF(L49="",L48,L49)</f>
        <v>0</v>
      </c>
      <c r="R50" s="3"/>
      <c r="S50" s="3"/>
    </row>
    <row r="51" spans="1:22" x14ac:dyDescent="0.25">
      <c r="A51" s="382"/>
      <c r="B51" s="382"/>
      <c r="C51" s="382"/>
      <c r="D51" s="382"/>
      <c r="E51" s="382"/>
      <c r="F51" s="382"/>
      <c r="G51" s="382"/>
      <c r="H51" s="382"/>
      <c r="I51" s="382"/>
      <c r="J51" s="382"/>
      <c r="K51" s="382"/>
      <c r="R51" s="3"/>
      <c r="S51" s="3"/>
    </row>
    <row r="52" spans="1:22" ht="18.75" customHeight="1" x14ac:dyDescent="0.25">
      <c r="A52" s="1405" t="s">
        <v>624</v>
      </c>
      <c r="B52" s="1405"/>
      <c r="C52" s="1402" t="str">
        <f>'RAPPORTO ISPEZIONE'!I19</f>
        <v>20 kV/400 V</v>
      </c>
      <c r="D52" s="1402"/>
      <c r="E52" s="1402"/>
      <c r="F52" s="1402"/>
      <c r="G52" s="382"/>
      <c r="H52" s="1405" t="s">
        <v>407</v>
      </c>
      <c r="I52" s="1405"/>
      <c r="J52" s="1410" t="str">
        <f>'RAPPORTO ISPEZIONE'!I20</f>
        <v>400 V</v>
      </c>
      <c r="K52" s="1411"/>
      <c r="V52" s="382"/>
    </row>
    <row r="53" spans="1:22" ht="18.75" x14ac:dyDescent="0.3">
      <c r="C53" s="1412" t="s">
        <v>1274</v>
      </c>
      <c r="D53" s="1413"/>
      <c r="E53" s="1413"/>
      <c r="F53" s="1414"/>
      <c r="I53" s="373"/>
      <c r="J53" s="1389" t="s">
        <v>1345</v>
      </c>
      <c r="K53" s="1391"/>
      <c r="V53" s="384"/>
    </row>
    <row r="54" spans="1:22" ht="18.75" x14ac:dyDescent="0.3">
      <c r="A54" s="378"/>
      <c r="B54" s="378"/>
      <c r="C54" s="385"/>
      <c r="D54" s="385"/>
      <c r="E54" s="373"/>
      <c r="I54" s="373"/>
      <c r="J54" s="1408" t="str">
        <f>IF(J53="",J52,J53)</f>
        <v>20 kV</v>
      </c>
      <c r="K54" s="1409"/>
      <c r="V54" s="384"/>
    </row>
    <row r="55" spans="1:22" ht="18.75" x14ac:dyDescent="0.3">
      <c r="A55" s="386" t="s">
        <v>488</v>
      </c>
      <c r="E55" s="373"/>
      <c r="F55" s="373"/>
      <c r="G55" s="373"/>
      <c r="H55" s="373"/>
      <c r="I55" s="373"/>
    </row>
    <row r="56" spans="1:22" x14ac:dyDescent="0.25">
      <c r="A56" s="1334" t="s">
        <v>410</v>
      </c>
      <c r="B56" s="1335"/>
      <c r="C56" s="1361" t="str">
        <f>'RAPPORTO ISPEZIONE'!D29</f>
        <v>97005555</v>
      </c>
      <c r="D56" s="1361"/>
      <c r="E56" s="1361"/>
      <c r="F56" s="1361"/>
      <c r="G56" s="1334" t="s">
        <v>489</v>
      </c>
      <c r="H56" s="1335"/>
      <c r="I56" s="1361" t="str">
        <f>'RAPPORTO ISPEZIONE'!D30</f>
        <v>3x58/100…240/415 V</v>
      </c>
      <c r="J56" s="1361"/>
      <c r="K56" s="1361"/>
      <c r="L56" s="1361"/>
    </row>
    <row r="57" spans="1:22" x14ac:dyDescent="0.25">
      <c r="A57" s="1336"/>
      <c r="B57" s="1337"/>
      <c r="C57" s="1362"/>
      <c r="D57" s="1362"/>
      <c r="E57" s="1362"/>
      <c r="F57" s="1362"/>
      <c r="G57" s="1336"/>
      <c r="H57" s="1337"/>
      <c r="I57" s="1362" t="s">
        <v>1605</v>
      </c>
      <c r="J57" s="1362"/>
      <c r="K57" s="1362"/>
      <c r="L57" s="1362"/>
    </row>
    <row r="58" spans="1:22" ht="18.75" x14ac:dyDescent="0.3">
      <c r="A58" s="1338"/>
      <c r="B58" s="1339"/>
      <c r="C58" s="1385" t="str">
        <f>IF(C57="",C56,C57)</f>
        <v>97005555</v>
      </c>
      <c r="D58" s="1386"/>
      <c r="E58" s="1386"/>
      <c r="F58" s="1387"/>
      <c r="G58" s="1338"/>
      <c r="H58" s="1339"/>
      <c r="I58" s="1470" t="str">
        <f>IF(I57="",I56,I57)</f>
        <v>3x58/100…240/415</v>
      </c>
      <c r="J58" s="1471"/>
      <c r="K58" s="1471"/>
      <c r="L58" s="1472"/>
    </row>
    <row r="60" spans="1:22" x14ac:dyDescent="0.25">
      <c r="A60" s="1334" t="s">
        <v>409</v>
      </c>
      <c r="B60" s="1335"/>
      <c r="C60" s="1361" t="str">
        <f>'RAPPORTO ISPEZIONE'!D27</f>
        <v>LANDIS+GYR</v>
      </c>
      <c r="D60" s="1361"/>
      <c r="E60" s="1361"/>
      <c r="F60" s="1361"/>
      <c r="G60" s="1334" t="s">
        <v>490</v>
      </c>
      <c r="H60" s="1335"/>
      <c r="I60" s="1402" t="str">
        <f>'RAPPORTO ISPEZIONE'!D31</f>
        <v>0,05-5(10) A</v>
      </c>
      <c r="J60" s="1402"/>
      <c r="K60" s="1402"/>
      <c r="L60" s="1402"/>
    </row>
    <row r="61" spans="1:22" x14ac:dyDescent="0.25">
      <c r="A61" s="1336"/>
      <c r="B61" s="1337"/>
      <c r="C61" s="1362"/>
      <c r="D61" s="1362"/>
      <c r="E61" s="1362"/>
      <c r="F61" s="1362"/>
      <c r="G61" s="1336"/>
      <c r="H61" s="1337"/>
      <c r="I61" s="1449" t="s">
        <v>1606</v>
      </c>
      <c r="J61" s="1449"/>
      <c r="K61" s="1449"/>
      <c r="L61" s="1449"/>
    </row>
    <row r="62" spans="1:22" ht="18.75" x14ac:dyDescent="0.3">
      <c r="A62" s="1338"/>
      <c r="B62" s="1339"/>
      <c r="C62" s="1385" t="str">
        <f>IF(C61="",C60,C61)</f>
        <v>LANDIS+GYR</v>
      </c>
      <c r="D62" s="1386"/>
      <c r="E62" s="1386"/>
      <c r="F62" s="1387"/>
      <c r="G62" s="1338"/>
      <c r="H62" s="1339"/>
      <c r="I62" s="1470" t="str">
        <f>IF(I61="",I60,I61)</f>
        <v>0,05-5(10)</v>
      </c>
      <c r="J62" s="1471"/>
      <c r="K62" s="1471"/>
      <c r="L62" s="1472"/>
    </row>
    <row r="64" spans="1:22" x14ac:dyDescent="0.25">
      <c r="A64" s="1334" t="s">
        <v>411</v>
      </c>
      <c r="B64" s="1335"/>
      <c r="C64" s="1361" t="str">
        <f>'RAPPORTO ISPEZIONE'!D28</f>
        <v>ZMD405CR44.0007 S3 B32</v>
      </c>
      <c r="D64" s="1361"/>
      <c r="E64" s="1361"/>
      <c r="F64" s="1361"/>
      <c r="G64" s="1334" t="s">
        <v>415</v>
      </c>
      <c r="H64" s="1335"/>
      <c r="I64" s="1402" t="str">
        <f>'RAPPORTO ISPEZIONE'!D32</f>
        <v>50</v>
      </c>
      <c r="J64" s="1402"/>
      <c r="K64" s="1402"/>
      <c r="L64" s="1402"/>
    </row>
    <row r="65" spans="1:12" x14ac:dyDescent="0.25">
      <c r="A65" s="1336"/>
      <c r="B65" s="1337"/>
      <c r="C65" s="1362" t="s">
        <v>1601</v>
      </c>
      <c r="D65" s="1362"/>
      <c r="E65" s="1362"/>
      <c r="F65" s="1362"/>
      <c r="G65" s="1336"/>
      <c r="H65" s="1337"/>
      <c r="I65" s="1362"/>
      <c r="J65" s="1362"/>
      <c r="K65" s="1362"/>
      <c r="L65" s="1362"/>
    </row>
    <row r="66" spans="1:12" ht="18.75" x14ac:dyDescent="0.3">
      <c r="A66" s="1338"/>
      <c r="B66" s="1339"/>
      <c r="C66" s="1470" t="str">
        <f>IF(C65="",C64,C65)</f>
        <v>ZMD405CR44.0007 S3a B32</v>
      </c>
      <c r="D66" s="1471"/>
      <c r="E66" s="1471"/>
      <c r="F66" s="1472"/>
      <c r="G66" s="1338"/>
      <c r="H66" s="1339"/>
      <c r="I66" s="1470" t="str">
        <f>IF(I65="",I64,I65)</f>
        <v>50</v>
      </c>
      <c r="J66" s="1471"/>
      <c r="K66" s="1471"/>
      <c r="L66" s="1472"/>
    </row>
    <row r="68" spans="1:12" x14ac:dyDescent="0.25">
      <c r="A68" s="1334" t="s">
        <v>412</v>
      </c>
      <c r="B68" s="1335"/>
      <c r="C68" s="1361" t="str">
        <f>'RAPPORTO ISPEZIONE'!J27</f>
        <v>CE M20 1259</v>
      </c>
      <c r="D68" s="1361"/>
      <c r="E68" s="1361"/>
      <c r="F68" s="1361"/>
      <c r="G68" s="1334" t="s">
        <v>992</v>
      </c>
      <c r="H68" s="1335"/>
      <c r="I68" s="1462" t="str">
        <f>'RAPPORTO ISPEZIONE'!J29</f>
        <v>6</v>
      </c>
      <c r="J68" s="1463"/>
      <c r="K68" s="1462" t="str">
        <f>'RAPPORTO ISPEZIONE'!L29</f>
        <v>2</v>
      </c>
      <c r="L68" s="1463"/>
    </row>
    <row r="69" spans="1:12" x14ac:dyDescent="0.25">
      <c r="A69" s="1336"/>
      <c r="B69" s="1337"/>
      <c r="C69" s="1362"/>
      <c r="D69" s="1362"/>
      <c r="E69" s="1362"/>
      <c r="F69" s="1362"/>
      <c r="G69" s="1336"/>
      <c r="H69" s="1337"/>
      <c r="I69" s="1389"/>
      <c r="J69" s="1391"/>
      <c r="K69" s="1389"/>
      <c r="L69" s="1391"/>
    </row>
    <row r="70" spans="1:12" ht="18.75" x14ac:dyDescent="0.3">
      <c r="A70" s="1338"/>
      <c r="B70" s="1339"/>
      <c r="C70" s="1385" t="str">
        <f>IF(C69="",C68,C69)</f>
        <v>CE M20 1259</v>
      </c>
      <c r="D70" s="1386"/>
      <c r="E70" s="1386"/>
      <c r="F70" s="1387"/>
      <c r="G70" s="1338"/>
      <c r="H70" s="1339"/>
      <c r="I70" s="1359" t="str">
        <f>IF(I69="",I68,I69)</f>
        <v>6</v>
      </c>
      <c r="J70" s="1360"/>
      <c r="K70" s="1359" t="str">
        <f>IF(K69="",K68,K69)</f>
        <v>2</v>
      </c>
      <c r="L70" s="1360"/>
    </row>
    <row r="72" spans="1:12" x14ac:dyDescent="0.25">
      <c r="A72" s="1334" t="s">
        <v>414</v>
      </c>
      <c r="B72" s="1335"/>
      <c r="C72" s="1462" t="str">
        <f>IF('RAPPORTO ISPEZIONE'!J26="X",'RAPPORTO ISPEZIONE'!J25,IF('RAPPORTO ISPEZIONE'!L26="X",'RAPPORTO ISPEZIONE'!L25,""))</f>
        <v>STATICO</v>
      </c>
      <c r="D72" s="1463"/>
      <c r="E72" s="1462" t="str">
        <f>LOOKUP("X",'RAPPORTO ISPEZIONE'!D26:G26,'RAPPORTO ISPEZIONE'!D25:G25)</f>
        <v>TRIFASE</v>
      </c>
      <c r="F72" s="1463"/>
      <c r="G72" s="1334" t="s">
        <v>419</v>
      </c>
      <c r="H72" s="1335"/>
      <c r="I72" s="1361" t="str">
        <f>'RAPPORTO ISPEZIONE'!J34</f>
        <v>1</v>
      </c>
      <c r="J72" s="1361"/>
      <c r="K72" s="1361"/>
      <c r="L72" s="1361"/>
    </row>
    <row r="73" spans="1:12" ht="18.75" x14ac:dyDescent="0.3">
      <c r="A73" s="1338"/>
      <c r="B73" s="1339"/>
      <c r="C73" s="1473" t="s">
        <v>601</v>
      </c>
      <c r="D73" s="1473"/>
      <c r="E73" s="1473" t="s">
        <v>599</v>
      </c>
      <c r="F73" s="1474"/>
      <c r="G73" s="1336"/>
      <c r="H73" s="1337"/>
      <c r="I73" s="1362"/>
      <c r="J73" s="1362"/>
      <c r="K73" s="1362"/>
      <c r="L73" s="1362"/>
    </row>
    <row r="74" spans="1:12" ht="18.75" x14ac:dyDescent="0.3">
      <c r="G74" s="1338"/>
      <c r="H74" s="1339"/>
      <c r="I74" s="1385" t="str">
        <f>IF(I73="",I72,I73)</f>
        <v>1</v>
      </c>
      <c r="J74" s="1386"/>
      <c r="K74" s="1386"/>
      <c r="L74" s="1387"/>
    </row>
    <row r="77" spans="1:12" x14ac:dyDescent="0.25">
      <c r="A77" s="1334" t="s">
        <v>494</v>
      </c>
      <c r="B77" s="1335"/>
      <c r="C77" s="1462" t="str">
        <f>'RAPPORTO ISPEZIONE'!J28</f>
        <v>10000</v>
      </c>
      <c r="D77" s="1463"/>
      <c r="E77" s="1462" t="str">
        <f>'RAPPORTO ISPEZIONE'!L28</f>
        <v>impulsi/kWh</v>
      </c>
      <c r="F77" s="1463"/>
      <c r="G77" s="1334" t="s">
        <v>495</v>
      </c>
      <c r="H77" s="1335"/>
      <c r="I77" s="1462">
        <f>'RAPPORTO ISPEZIONE'!L65</f>
        <v>1</v>
      </c>
      <c r="J77" s="1466"/>
      <c r="K77" s="1466"/>
      <c r="L77" s="1463"/>
    </row>
    <row r="78" spans="1:12" ht="18.75" x14ac:dyDescent="0.3">
      <c r="A78" s="1336"/>
      <c r="B78" s="1337"/>
      <c r="C78" s="1389"/>
      <c r="D78" s="1391"/>
      <c r="E78" s="1464"/>
      <c r="F78" s="1465"/>
      <c r="G78" s="1336"/>
      <c r="H78" s="1337"/>
      <c r="I78" s="1362"/>
      <c r="J78" s="1362"/>
      <c r="K78" s="1362"/>
      <c r="L78" s="1362"/>
    </row>
    <row r="79" spans="1:12" ht="18.75" x14ac:dyDescent="0.3">
      <c r="A79" s="1338"/>
      <c r="B79" s="1339"/>
      <c r="C79" s="1359" t="str">
        <f>IF(C78="",C77,C78)</f>
        <v>10000</v>
      </c>
      <c r="D79" s="1360"/>
      <c r="E79" s="1359" t="str">
        <f>IF(E78="",E77,E78)</f>
        <v>impulsi/kWh</v>
      </c>
      <c r="F79" s="1360"/>
      <c r="G79" s="1338"/>
      <c r="H79" s="1339"/>
      <c r="I79" s="1385">
        <f>IF(I78="",I77,I78)</f>
        <v>1</v>
      </c>
      <c r="J79" s="1386"/>
      <c r="K79" s="1386"/>
      <c r="L79" s="1387"/>
    </row>
    <row r="80" spans="1:12" ht="18.75" x14ac:dyDescent="0.3">
      <c r="E80" s="373"/>
      <c r="F80" s="373"/>
      <c r="G80" s="373"/>
      <c r="H80" s="373"/>
      <c r="I80" s="373"/>
    </row>
    <row r="81" spans="1:22" ht="18.75" x14ac:dyDescent="0.3">
      <c r="C81" s="386" t="s">
        <v>496</v>
      </c>
      <c r="E81" s="373"/>
      <c r="F81" s="373"/>
      <c r="G81" s="373"/>
      <c r="I81" s="386" t="s">
        <v>580</v>
      </c>
      <c r="K81" s="373"/>
      <c r="L81" s="373"/>
    </row>
    <row r="82" spans="1:22" ht="18.75" x14ac:dyDescent="0.3">
      <c r="A82" s="1334" t="s">
        <v>409</v>
      </c>
      <c r="B82" s="1335"/>
      <c r="C82" s="1361" t="str">
        <f>'RAPPORTO ISPEZIONE'!D42</f>
        <v>S.A.EL.</v>
      </c>
      <c r="D82" s="1361"/>
      <c r="E82" s="1361"/>
      <c r="F82" s="1361"/>
      <c r="G82" s="373"/>
      <c r="I82" s="1361" t="str">
        <f>'RAPPORTO ISPEZIONE'!H42</f>
        <v>REVALCO</v>
      </c>
      <c r="J82" s="1361"/>
      <c r="K82" s="1361"/>
      <c r="L82" s="1361"/>
    </row>
    <row r="83" spans="1:22" ht="18.75" x14ac:dyDescent="0.3">
      <c r="A83" s="1336"/>
      <c r="B83" s="1337"/>
      <c r="C83" s="1362"/>
      <c r="D83" s="1362"/>
      <c r="E83" s="1362"/>
      <c r="F83" s="1362"/>
      <c r="G83" s="373"/>
      <c r="I83" s="1362"/>
      <c r="J83" s="1362"/>
      <c r="K83" s="1362"/>
      <c r="L83" s="1362"/>
    </row>
    <row r="84" spans="1:22" ht="18.75" x14ac:dyDescent="0.3">
      <c r="A84" s="1338"/>
      <c r="B84" s="1339"/>
      <c r="C84" s="1385" t="str">
        <f>IF(C83="",C82,C83)</f>
        <v>S.A.EL.</v>
      </c>
      <c r="D84" s="1386"/>
      <c r="E84" s="1386"/>
      <c r="F84" s="1387"/>
      <c r="G84" s="373"/>
      <c r="I84" s="1385" t="str">
        <f>IF(I83="",I82,I83)</f>
        <v>REVALCO</v>
      </c>
      <c r="J84" s="1386"/>
      <c r="K84" s="1386"/>
      <c r="L84" s="1387"/>
    </row>
    <row r="86" spans="1:22" ht="18.75" x14ac:dyDescent="0.3">
      <c r="A86" s="1334" t="s">
        <v>411</v>
      </c>
      <c r="B86" s="1335"/>
      <c r="C86" s="1361" t="str">
        <f>'RAPPORTO ISPEZIONE'!D43</f>
        <v>TCO80</v>
      </c>
      <c r="D86" s="1361"/>
      <c r="E86" s="1361"/>
      <c r="F86" s="1361"/>
      <c r="G86" s="373"/>
      <c r="I86" s="1361" t="str">
        <f>'RAPPORTO ISPEZIONE'!H43</f>
        <v>TT10</v>
      </c>
      <c r="J86" s="1361"/>
      <c r="K86" s="1361"/>
      <c r="L86" s="1361"/>
    </row>
    <row r="87" spans="1:22" ht="18.75" x14ac:dyDescent="0.3">
      <c r="A87" s="1336"/>
      <c r="B87" s="1337"/>
      <c r="C87" s="1362"/>
      <c r="D87" s="1362"/>
      <c r="E87" s="1362"/>
      <c r="F87" s="1362"/>
      <c r="G87" s="373"/>
      <c r="I87" s="1362"/>
      <c r="J87" s="1362"/>
      <c r="K87" s="1362"/>
      <c r="L87" s="1362"/>
    </row>
    <row r="88" spans="1:22" ht="18.75" x14ac:dyDescent="0.3">
      <c r="A88" s="1338"/>
      <c r="B88" s="1339"/>
      <c r="C88" s="1385" t="str">
        <f>IF(C87="",C86,C87)</f>
        <v>TCO80</v>
      </c>
      <c r="D88" s="1386"/>
      <c r="E88" s="1386"/>
      <c r="F88" s="1387"/>
      <c r="G88" s="373"/>
      <c r="I88" s="1385" t="str">
        <f>IF(I87="",I86,I87)</f>
        <v>TT10</v>
      </c>
      <c r="J88" s="1386"/>
      <c r="K88" s="1386"/>
      <c r="L88" s="1387"/>
    </row>
    <row r="90" spans="1:22" ht="18.75" x14ac:dyDescent="0.3">
      <c r="A90" s="1334" t="s">
        <v>415</v>
      </c>
      <c r="B90" s="1335"/>
      <c r="C90" s="1361" t="str">
        <f>'RAPPORTO ISPEZIONE'!D44</f>
        <v>50</v>
      </c>
      <c r="D90" s="1361"/>
      <c r="E90" s="1361"/>
      <c r="F90" s="1361"/>
      <c r="G90" s="373"/>
      <c r="I90" s="1361" t="str">
        <f>'RAPPORTO ISPEZIONE'!H44</f>
        <v>50</v>
      </c>
      <c r="J90" s="1361"/>
      <c r="K90" s="1361"/>
      <c r="L90" s="1361"/>
    </row>
    <row r="91" spans="1:22" ht="18.75" x14ac:dyDescent="0.3">
      <c r="A91" s="1336"/>
      <c r="B91" s="1337"/>
      <c r="C91" s="1362"/>
      <c r="D91" s="1362"/>
      <c r="E91" s="1362"/>
      <c r="F91" s="1362"/>
      <c r="G91" s="373"/>
      <c r="I91" s="1362"/>
      <c r="J91" s="1362"/>
      <c r="K91" s="1362"/>
      <c r="L91" s="1362"/>
    </row>
    <row r="92" spans="1:22" ht="18.75" x14ac:dyDescent="0.3">
      <c r="A92" s="1338"/>
      <c r="B92" s="1339"/>
      <c r="C92" s="1385" t="str">
        <f>IF(C91="",C90,C91)</f>
        <v>50</v>
      </c>
      <c r="D92" s="1386"/>
      <c r="E92" s="1386"/>
      <c r="F92" s="1387"/>
      <c r="G92" s="373"/>
      <c r="I92" s="1385" t="str">
        <f>IF(I91="",I90,I91)</f>
        <v>50</v>
      </c>
      <c r="J92" s="1386"/>
      <c r="K92" s="1386"/>
      <c r="L92" s="1387"/>
    </row>
    <row r="94" spans="1:22" ht="18.75" x14ac:dyDescent="0.3">
      <c r="A94" s="1334" t="s">
        <v>498</v>
      </c>
      <c r="B94" s="1335"/>
      <c r="C94" s="1361" t="str">
        <f>'RAPPORTO ISPEZIONE'!D48</f>
        <v>111111</v>
      </c>
      <c r="D94" s="1361"/>
      <c r="E94" s="1361"/>
      <c r="F94" s="1361"/>
      <c r="G94" s="373"/>
      <c r="I94" s="1361" t="str">
        <f>'RAPPORTO ISPEZIONE'!H48</f>
        <v>444444</v>
      </c>
      <c r="J94" s="1361"/>
      <c r="K94" s="1361"/>
      <c r="L94" s="1361"/>
      <c r="V94" s="7"/>
    </row>
    <row r="95" spans="1:22" ht="18.75" x14ac:dyDescent="0.3">
      <c r="A95" s="1336"/>
      <c r="B95" s="1337"/>
      <c r="C95" s="1362"/>
      <c r="D95" s="1362"/>
      <c r="E95" s="1362"/>
      <c r="F95" s="1362"/>
      <c r="G95" s="373"/>
      <c r="I95" s="1362"/>
      <c r="J95" s="1362"/>
      <c r="K95" s="1362"/>
      <c r="L95" s="1362"/>
      <c r="V95" s="7"/>
    </row>
    <row r="96" spans="1:22" ht="18.75" x14ac:dyDescent="0.3">
      <c r="A96" s="1338"/>
      <c r="B96" s="1339"/>
      <c r="C96" s="1385" t="str">
        <f>IF(C95="",C94,C95)</f>
        <v>111111</v>
      </c>
      <c r="D96" s="1386"/>
      <c r="E96" s="1386"/>
      <c r="F96" s="1387"/>
      <c r="G96" s="373"/>
      <c r="I96" s="1385" t="str">
        <f>IF(I95="",I94,I95)</f>
        <v>444444</v>
      </c>
      <c r="J96" s="1386"/>
      <c r="K96" s="1386"/>
      <c r="L96" s="1387"/>
      <c r="V96" s="7"/>
    </row>
    <row r="97" spans="1:34" x14ac:dyDescent="0.25">
      <c r="V97" s="7"/>
    </row>
    <row r="98" spans="1:34" ht="18.75" x14ac:dyDescent="0.3">
      <c r="A98" s="1334" t="s">
        <v>499</v>
      </c>
      <c r="B98" s="1335"/>
      <c r="C98" s="1361" t="str">
        <f>'RAPPORTO ISPEZIONE'!D52</f>
        <v>222222</v>
      </c>
      <c r="D98" s="1361"/>
      <c r="E98" s="1361"/>
      <c r="F98" s="1361"/>
      <c r="G98" s="373"/>
      <c r="I98" s="1361" t="str">
        <f>'RAPPORTO ISPEZIONE'!H52</f>
        <v>555555</v>
      </c>
      <c r="J98" s="1361"/>
      <c r="K98" s="1361"/>
      <c r="L98" s="1361"/>
    </row>
    <row r="99" spans="1:34" ht="18.75" x14ac:dyDescent="0.3">
      <c r="A99" s="1336"/>
      <c r="B99" s="1337"/>
      <c r="C99" s="1362"/>
      <c r="D99" s="1362"/>
      <c r="E99" s="1362"/>
      <c r="F99" s="1362"/>
      <c r="G99" s="373"/>
      <c r="I99" s="1362"/>
      <c r="J99" s="1362"/>
      <c r="K99" s="1362"/>
      <c r="L99" s="1362"/>
    </row>
    <row r="100" spans="1:34" ht="18.75" x14ac:dyDescent="0.3">
      <c r="A100" s="1338"/>
      <c r="B100" s="1339"/>
      <c r="C100" s="1385" t="str">
        <f>IF(C99="",C98,C99)</f>
        <v>222222</v>
      </c>
      <c r="D100" s="1386"/>
      <c r="E100" s="1386"/>
      <c r="F100" s="1387"/>
      <c r="G100" s="373"/>
      <c r="I100" s="1385" t="str">
        <f>IF(I99="",I98,I99)</f>
        <v>555555</v>
      </c>
      <c r="J100" s="1386"/>
      <c r="K100" s="1386"/>
      <c r="L100" s="1387"/>
    </row>
    <row r="102" spans="1:34" x14ac:dyDescent="0.25">
      <c r="A102" s="1405" t="s">
        <v>500</v>
      </c>
      <c r="B102" s="1405"/>
      <c r="C102" s="1361" t="str">
        <f>'RAPPORTO ISPEZIONE'!D56</f>
        <v>333333</v>
      </c>
      <c r="D102" s="1361"/>
      <c r="E102" s="1361"/>
      <c r="F102" s="1361"/>
      <c r="I102" s="1361" t="str">
        <f>'RAPPORTO ISPEZIONE'!H56</f>
        <v>666666</v>
      </c>
      <c r="J102" s="1361"/>
      <c r="K102" s="1361"/>
      <c r="L102" s="1361"/>
      <c r="AH102" s="3"/>
    </row>
    <row r="103" spans="1:34" x14ac:dyDescent="0.25">
      <c r="A103" s="378"/>
      <c r="B103" s="378"/>
      <c r="C103" s="1362"/>
      <c r="D103" s="1362"/>
      <c r="E103" s="1362"/>
      <c r="F103" s="1362"/>
      <c r="I103" s="1362"/>
      <c r="J103" s="1362"/>
      <c r="K103" s="1362"/>
      <c r="L103" s="1362"/>
      <c r="AH103" s="3"/>
    </row>
    <row r="104" spans="1:34" ht="18.75" x14ac:dyDescent="0.3">
      <c r="A104" s="378"/>
      <c r="B104" s="378"/>
      <c r="C104" s="1385" t="str">
        <f>IF(C103="",C102,C103)</f>
        <v>333333</v>
      </c>
      <c r="D104" s="1386"/>
      <c r="E104" s="1386"/>
      <c r="F104" s="1387"/>
      <c r="I104" s="1385" t="str">
        <f>IF(I103="",I102,I103)</f>
        <v>666666</v>
      </c>
      <c r="J104" s="1386"/>
      <c r="K104" s="1386"/>
      <c r="L104" s="1387"/>
      <c r="AH104" s="3"/>
    </row>
    <row r="105" spans="1:34" ht="18.75" x14ac:dyDescent="0.3">
      <c r="A105" s="378"/>
      <c r="B105" s="378"/>
      <c r="C105" s="385"/>
      <c r="D105" s="385"/>
      <c r="E105" s="385"/>
      <c r="F105" s="385"/>
      <c r="G105" s="3"/>
      <c r="H105" s="3"/>
      <c r="I105" s="385"/>
      <c r="J105" s="385"/>
      <c r="K105" s="385"/>
      <c r="L105" s="385"/>
      <c r="M105" s="3"/>
      <c r="AH105" s="3"/>
    </row>
    <row r="106" spans="1:34" ht="18.75" x14ac:dyDescent="0.3">
      <c r="A106" s="386" t="s">
        <v>501</v>
      </c>
      <c r="B106" s="387"/>
      <c r="F106" s="388" t="s">
        <v>431</v>
      </c>
      <c r="G106" s="388" t="s">
        <v>432</v>
      </c>
      <c r="H106" s="1437" t="s">
        <v>433</v>
      </c>
      <c r="I106" s="1437"/>
      <c r="J106" s="1437"/>
      <c r="K106" s="1437"/>
      <c r="L106" s="1437"/>
      <c r="AH106" s="3"/>
    </row>
    <row r="107" spans="1:34" s="5" customFormat="1" x14ac:dyDescent="0.25">
      <c r="A107" s="1469" t="s">
        <v>502</v>
      </c>
      <c r="B107" s="1469"/>
      <c r="C107" s="1469"/>
      <c r="D107" s="1469"/>
      <c r="E107" s="1469"/>
      <c r="F107" s="718" t="s">
        <v>1279</v>
      </c>
      <c r="G107" s="288" t="s">
        <v>508</v>
      </c>
      <c r="H107" s="1345" t="s">
        <v>1608</v>
      </c>
      <c r="I107" s="1346"/>
      <c r="J107" s="1346"/>
      <c r="K107" s="1346"/>
      <c r="L107" s="1346"/>
      <c r="M107" s="389"/>
      <c r="O107" s="389"/>
      <c r="S107" s="389"/>
      <c r="AB107" s="389"/>
      <c r="AC107" s="1"/>
    </row>
    <row r="108" spans="1:34" s="5" customFormat="1" x14ac:dyDescent="0.25">
      <c r="A108" s="1469" t="s">
        <v>503</v>
      </c>
      <c r="B108" s="1469"/>
      <c r="C108" s="1469"/>
      <c r="D108" s="1469"/>
      <c r="E108" s="1469"/>
      <c r="F108" s="718" t="s">
        <v>1280</v>
      </c>
      <c r="G108" s="288" t="s">
        <v>1281</v>
      </c>
      <c r="H108" s="1345" t="s">
        <v>1609</v>
      </c>
      <c r="I108" s="1346"/>
      <c r="J108" s="1346"/>
      <c r="K108" s="1346"/>
      <c r="L108" s="1346"/>
      <c r="M108" s="390"/>
      <c r="N108" s="391"/>
      <c r="O108" s="391"/>
      <c r="P108" s="391"/>
      <c r="Q108" s="391"/>
      <c r="S108" s="390"/>
      <c r="AB108" s="390"/>
      <c r="AC108" s="1"/>
      <c r="AD108" s="1"/>
    </row>
    <row r="109" spans="1:34" s="5" customFormat="1" x14ac:dyDescent="0.25">
      <c r="A109" s="1469" t="s">
        <v>436</v>
      </c>
      <c r="B109" s="1469"/>
      <c r="C109" s="1469"/>
      <c r="D109" s="1469"/>
      <c r="E109" s="1469"/>
      <c r="F109" s="718" t="s">
        <v>1279</v>
      </c>
      <c r="G109" s="288" t="s">
        <v>509</v>
      </c>
      <c r="H109" s="1345" t="s">
        <v>1610</v>
      </c>
      <c r="I109" s="1346"/>
      <c r="J109" s="1346"/>
      <c r="K109" s="1346"/>
      <c r="L109" s="1346"/>
      <c r="M109" s="390"/>
      <c r="N109" s="391"/>
      <c r="O109" s="391"/>
      <c r="P109" s="391"/>
      <c r="Q109" s="391"/>
      <c r="S109" s="390"/>
      <c r="AB109" s="390"/>
      <c r="AC109" s="1"/>
      <c r="AD109" s="1"/>
    </row>
    <row r="110" spans="1:34" s="5" customFormat="1" x14ac:dyDescent="0.25">
      <c r="C110" s="390"/>
      <c r="D110" s="390"/>
      <c r="E110" s="390"/>
      <c r="F110" s="390"/>
      <c r="G110" s="390"/>
      <c r="H110" s="390"/>
      <c r="I110" s="390"/>
      <c r="J110" s="390"/>
      <c r="K110" s="390"/>
      <c r="L110" s="390"/>
      <c r="M110" s="390"/>
      <c r="N110" s="391"/>
      <c r="O110" s="391"/>
      <c r="P110" s="391"/>
      <c r="Q110" s="391"/>
      <c r="S110" s="390"/>
      <c r="AB110" s="390"/>
      <c r="AC110" s="1"/>
      <c r="AD110" s="1"/>
    </row>
    <row r="111" spans="1:34" s="5" customFormat="1" ht="18.75" x14ac:dyDescent="0.3">
      <c r="A111" s="386" t="s">
        <v>516</v>
      </c>
      <c r="C111" s="390"/>
      <c r="D111" s="390"/>
      <c r="L111" s="390"/>
      <c r="M111" s="390"/>
      <c r="N111" s="391"/>
      <c r="O111" s="391"/>
      <c r="P111" s="391"/>
      <c r="Q111" s="391"/>
      <c r="R111" s="390"/>
      <c r="S111" s="390"/>
      <c r="AB111" s="390"/>
      <c r="AC111" s="1"/>
      <c r="AD111" s="1"/>
    </row>
    <row r="112" spans="1:34" s="5" customFormat="1" ht="18.75" x14ac:dyDescent="0.3">
      <c r="A112" s="1334" t="s">
        <v>515</v>
      </c>
      <c r="B112" s="1335"/>
      <c r="C112" s="392" t="str">
        <f>IF('RAPPORTO ISPEZIONE'!C78="","",'RAPPORTO ISPEZIONE'!C78)</f>
        <v>CC.02.00</v>
      </c>
      <c r="D112" s="390"/>
      <c r="E112" s="390"/>
      <c r="F112" s="390"/>
      <c r="G112" s="390"/>
      <c r="H112" s="390"/>
      <c r="I112" s="390"/>
      <c r="J112" s="390"/>
      <c r="K112" s="390"/>
      <c r="L112" s="390"/>
      <c r="M112" s="390"/>
      <c r="N112" s="391"/>
      <c r="O112" s="391"/>
      <c r="P112" s="391"/>
      <c r="Q112" s="391"/>
      <c r="R112" s="390"/>
      <c r="S112" s="390"/>
      <c r="AB112" s="390"/>
      <c r="AC112" s="1"/>
      <c r="AD112" s="1"/>
    </row>
    <row r="113" spans="1:30" s="5" customFormat="1" ht="18.75" x14ac:dyDescent="0.3">
      <c r="A113" s="1336"/>
      <c r="B113" s="1337"/>
      <c r="C113" s="300"/>
      <c r="D113" s="390"/>
      <c r="E113" s="1450" t="s">
        <v>688</v>
      </c>
      <c r="F113" s="1450"/>
      <c r="G113" s="1450"/>
      <c r="H113" s="1450"/>
      <c r="I113" s="1450" t="s">
        <v>675</v>
      </c>
      <c r="J113" s="1450"/>
      <c r="K113" s="393" t="s">
        <v>676</v>
      </c>
      <c r="L113" s="522" t="s">
        <v>1127</v>
      </c>
      <c r="M113" s="390"/>
      <c r="N113" s="391"/>
      <c r="O113" s="391"/>
      <c r="P113" s="391"/>
      <c r="Q113" s="391"/>
      <c r="R113" s="390"/>
      <c r="S113" s="390"/>
      <c r="AB113" s="390"/>
      <c r="AC113" s="1"/>
      <c r="AD113" s="1"/>
    </row>
    <row r="114" spans="1:30" s="5" customFormat="1" x14ac:dyDescent="0.25">
      <c r="A114" s="1338"/>
      <c r="B114" s="1339"/>
      <c r="C114" s="12" t="str">
        <f>IF(C112="",IF(C113="","",C113),C112)</f>
        <v>CC.02.00</v>
      </c>
      <c r="D114" s="390"/>
      <c r="E114" s="1475" t="str">
        <f>IF(C114&lt;&gt;"",CONCATENATE(LOOKUP(C114,TABELLE!B145:B158,TABELLE!C145:C158)," / ",LOOKUP(C114,TABELLE!B145:B158,TABELLE!D145:D158)," / ",LOOKUP(C114,TABELLE!B145:B158,TABELLE!E145:E158)),"")</f>
        <v>APPLIED PRECISION / WS2320A / 1352010366</v>
      </c>
      <c r="F114" s="1475"/>
      <c r="G114" s="1475"/>
      <c r="H114" s="1475"/>
      <c r="I114" s="1475" t="str">
        <f>IF(C114&lt;&gt;"",CONCATENATE(LOOKUP(C114,TABELLE!B145:B158,TABELLE!G145:G158)," / ",LOOKUP(C114,TABELLE!B145:B158,TABELLE!J145:J158)),"")</f>
        <v>CC30022/19 / APPLIED PRECISION LTD</v>
      </c>
      <c r="J114" s="1475"/>
      <c r="K114" s="394">
        <f>IF(C114&lt;&gt;"",LOOKUP(C114,TABELLE!B145:B158,TABELLE!I145:I158),"")+0</f>
        <v>43724</v>
      </c>
      <c r="L114" s="394">
        <f>IF(C114&lt;&gt;"",K114+365,"")</f>
        <v>44089</v>
      </c>
      <c r="M114" s="390"/>
      <c r="N114" s="391"/>
      <c r="O114" s="391"/>
      <c r="P114" s="395"/>
      <c r="Q114" s="395"/>
      <c r="R114" s="390"/>
      <c r="S114" s="390"/>
      <c r="AB114" s="390"/>
      <c r="AC114" s="1"/>
      <c r="AD114" s="1"/>
    </row>
    <row r="115" spans="1:30" x14ac:dyDescent="0.25">
      <c r="A115" s="391"/>
      <c r="B115" s="391"/>
      <c r="C115" s="391"/>
      <c r="D115" s="391"/>
      <c r="E115" s="391"/>
      <c r="F115" s="391"/>
      <c r="G115" s="391"/>
      <c r="H115" s="391"/>
      <c r="I115" s="391"/>
      <c r="J115" s="391"/>
      <c r="K115" s="391"/>
      <c r="L115" s="391"/>
      <c r="M115" s="391"/>
      <c r="N115" s="391"/>
      <c r="O115" s="391"/>
      <c r="P115" s="391"/>
      <c r="Q115" s="391"/>
    </row>
    <row r="116" spans="1:30" ht="18.75" x14ac:dyDescent="0.3">
      <c r="A116" s="386" t="s">
        <v>517</v>
      </c>
      <c r="B116" s="391"/>
      <c r="C116" s="391"/>
      <c r="D116" s="391"/>
      <c r="E116" s="391"/>
      <c r="F116" s="391"/>
      <c r="G116" s="391"/>
      <c r="H116" s="391"/>
      <c r="I116" s="391"/>
      <c r="J116" s="391"/>
      <c r="K116" s="391"/>
      <c r="L116" s="391"/>
      <c r="M116" s="390"/>
      <c r="N116" s="390"/>
      <c r="O116" s="391"/>
      <c r="P116" s="391"/>
      <c r="Q116" s="391"/>
    </row>
    <row r="117" spans="1:30" x14ac:dyDescent="0.25">
      <c r="A117" s="1405" t="s">
        <v>444</v>
      </c>
      <c r="B117" s="1405"/>
      <c r="C117" s="1468" t="s">
        <v>445</v>
      </c>
      <c r="D117" s="1468"/>
      <c r="E117" s="1468" t="s">
        <v>446</v>
      </c>
      <c r="F117" s="1468"/>
      <c r="G117" s="1468"/>
      <c r="H117" s="1468"/>
      <c r="I117" s="1468"/>
      <c r="J117" s="1468"/>
      <c r="K117" s="1479" t="s">
        <v>1154</v>
      </c>
      <c r="L117" s="1479" t="s">
        <v>1155</v>
      </c>
      <c r="M117" s="390"/>
      <c r="N117" s="390"/>
      <c r="O117" s="391"/>
      <c r="P117" s="390"/>
      <c r="Q117" s="390"/>
      <c r="R117" s="390"/>
      <c r="S117" s="390"/>
    </row>
    <row r="118" spans="1:30" x14ac:dyDescent="0.25">
      <c r="A118" s="1334" t="s">
        <v>447</v>
      </c>
      <c r="B118" s="1335"/>
      <c r="C118" s="396" t="str">
        <f>IF('RAPPORTO ISPEZIONE'!F180="","",'RAPPORTO ISPEZIONE'!F180)</f>
        <v>1.8.0</v>
      </c>
      <c r="D118" s="396" t="str">
        <f>IF('RAPPORTO ISPEZIONE'!G180="","",'RAPPORTO ISPEZIONE'!G180)</f>
        <v>2.8.0</v>
      </c>
      <c r="E118" s="396" t="str">
        <f>IF('RAPPORTO ISPEZIONE'!H180="","",'RAPPORTO ISPEZIONE'!H180)</f>
        <v>3.8.0</v>
      </c>
      <c r="F118" s="396" t="str">
        <f>IF('RAPPORTO ISPEZIONE'!I180="","",'RAPPORTO ISPEZIONE'!I180)</f>
        <v>5.8.0</v>
      </c>
      <c r="G118" s="396" t="str">
        <f>IF('RAPPORTO ISPEZIONE'!J180="","",'RAPPORTO ISPEZIONE'!J180)</f>
        <v>6.8.0</v>
      </c>
      <c r="H118" s="396" t="str">
        <f>IF('RAPPORTO ISPEZIONE'!K180="","",'RAPPORTO ISPEZIONE'!K180)</f>
        <v>7.8.0</v>
      </c>
      <c r="I118" s="396" t="str">
        <f>IF('RAPPORTO ISPEZIONE'!L180="","",'RAPPORTO ISPEZIONE'!L180)</f>
        <v>8.8.0</v>
      </c>
      <c r="J118" s="396" t="str">
        <f>IF('RAPPORTO ISPEZIONE'!M180="","",'RAPPORTO ISPEZIONE'!M180)</f>
        <v>kWh</v>
      </c>
      <c r="K118" s="1480"/>
      <c r="L118" s="1480"/>
      <c r="M118" s="390"/>
      <c r="N118" s="390"/>
      <c r="O118" s="390"/>
      <c r="P118" s="390"/>
      <c r="Q118" s="390"/>
      <c r="R118" s="390"/>
      <c r="S118" s="390"/>
      <c r="AA118" s="390"/>
    </row>
    <row r="119" spans="1:30" x14ac:dyDescent="0.25">
      <c r="A119" s="1336"/>
      <c r="B119" s="1337"/>
      <c r="C119" s="284"/>
      <c r="D119" s="284"/>
      <c r="E119" s="284"/>
      <c r="F119" s="284"/>
      <c r="G119" s="284"/>
      <c r="H119" s="284"/>
      <c r="I119" s="284"/>
      <c r="J119" s="284"/>
      <c r="K119" s="1480"/>
      <c r="L119" s="1480"/>
      <c r="M119" s="390"/>
      <c r="N119" s="390"/>
      <c r="O119" s="390"/>
      <c r="P119" s="390"/>
      <c r="Q119" s="390"/>
      <c r="R119" s="390"/>
      <c r="S119" s="390"/>
      <c r="AA119" s="390"/>
    </row>
    <row r="120" spans="1:30" x14ac:dyDescent="0.25">
      <c r="A120" s="1338"/>
      <c r="B120" s="1339"/>
      <c r="C120" s="397" t="str">
        <f t="shared" ref="C120:J120" si="0">IF(C119="",C118,C119)</f>
        <v>1.8.0</v>
      </c>
      <c r="D120" s="397" t="str">
        <f t="shared" si="0"/>
        <v>2.8.0</v>
      </c>
      <c r="E120" s="397" t="str">
        <f t="shared" si="0"/>
        <v>3.8.0</v>
      </c>
      <c r="F120" s="397" t="str">
        <f t="shared" si="0"/>
        <v>5.8.0</v>
      </c>
      <c r="G120" s="397" t="str">
        <f t="shared" si="0"/>
        <v>6.8.0</v>
      </c>
      <c r="H120" s="397" t="str">
        <f t="shared" si="0"/>
        <v>7.8.0</v>
      </c>
      <c r="I120" s="397" t="str">
        <f t="shared" si="0"/>
        <v>8.8.0</v>
      </c>
      <c r="J120" s="397" t="str">
        <f t="shared" si="0"/>
        <v>kWh</v>
      </c>
      <c r="K120" s="1481"/>
      <c r="L120" s="1481"/>
      <c r="M120" s="390"/>
      <c r="N120" s="390"/>
      <c r="O120" s="390"/>
      <c r="P120" s="390"/>
      <c r="Q120" s="390"/>
      <c r="R120" s="390"/>
      <c r="S120" s="390"/>
      <c r="AA120" s="390"/>
    </row>
    <row r="121" spans="1:30" x14ac:dyDescent="0.25">
      <c r="A121" s="1334" t="s">
        <v>448</v>
      </c>
      <c r="B121" s="1335"/>
      <c r="C121" s="396" t="str">
        <f>IF('RAPPORTO ISPEZIONE'!F181="","",'RAPPORTO ISPEZIONE'!F181)</f>
        <v>000001,20</v>
      </c>
      <c r="D121" s="396" t="str">
        <f>IF('RAPPORTO ISPEZIONE'!G181="","",'RAPPORTO ISPEZIONE'!G181)</f>
        <v>000002,30</v>
      </c>
      <c r="E121" s="396" t="str">
        <f>IF('RAPPORTO ISPEZIONE'!H181="","",'RAPPORTO ISPEZIONE'!H181)</f>
        <v>111111,12</v>
      </c>
      <c r="F121" s="396" t="str">
        <f>IF('RAPPORTO ISPEZIONE'!I181="","",'RAPPORTO ISPEZIONE'!I181)</f>
        <v>222222,12</v>
      </c>
      <c r="G121" s="396" t="str">
        <f>IF('RAPPORTO ISPEZIONE'!J181="","",'RAPPORTO ISPEZIONE'!J181)</f>
        <v>333333,12</v>
      </c>
      <c r="H121" s="396" t="str">
        <f>IF('RAPPORTO ISPEZIONE'!K181="","",'RAPPORTO ISPEZIONE'!K181)</f>
        <v>444444,12</v>
      </c>
      <c r="I121" s="396" t="str">
        <f>IF('RAPPORTO ISPEZIONE'!L181="","",'RAPPORTO ISPEZIONE'!L181)</f>
        <v>555555,12</v>
      </c>
      <c r="J121" s="396" t="str">
        <f>IF('RAPPORTO ISPEZIONE'!M181="","",'RAPPORTO ISPEZIONE'!M181)</f>
        <v>666666,12</v>
      </c>
      <c r="K121" s="538">
        <f>IF('RAPPORTO ISPEZIONE'!D180="","",'RAPPORTO ISPEZIONE'!D180)</f>
        <v>44041</v>
      </c>
      <c r="L121" s="541">
        <f>IF('RAPPORTO ISPEZIONE'!D181="","",'RAPPORTO ISPEZIONE'!D181)</f>
        <v>0.40902777777777777</v>
      </c>
      <c r="M121" s="390"/>
      <c r="N121" s="390"/>
      <c r="O121" s="390"/>
      <c r="P121" s="390"/>
      <c r="Q121" s="390"/>
      <c r="R121" s="390"/>
      <c r="S121" s="390"/>
      <c r="AA121" s="390"/>
    </row>
    <row r="122" spans="1:30" x14ac:dyDescent="0.25">
      <c r="A122" s="1336"/>
      <c r="B122" s="1337"/>
      <c r="C122" s="286"/>
      <c r="D122" s="286"/>
      <c r="E122" s="286"/>
      <c r="F122" s="286"/>
      <c r="G122" s="286"/>
      <c r="H122" s="286"/>
      <c r="I122" s="286"/>
      <c r="J122" s="286"/>
      <c r="K122" s="540"/>
      <c r="L122" s="542"/>
      <c r="M122" s="390"/>
      <c r="N122" s="390"/>
      <c r="O122" s="390"/>
      <c r="P122" s="390"/>
      <c r="Q122" s="390"/>
      <c r="R122" s="390"/>
      <c r="S122" s="390"/>
      <c r="AA122" s="390"/>
    </row>
    <row r="123" spans="1:30" x14ac:dyDescent="0.25">
      <c r="A123" s="1338"/>
      <c r="B123" s="1339"/>
      <c r="C123" s="397" t="str">
        <f t="shared" ref="C123:I123" si="1">IF(C122="",C121,C122)</f>
        <v>000001,20</v>
      </c>
      <c r="D123" s="397" t="str">
        <f t="shared" si="1"/>
        <v>000002,30</v>
      </c>
      <c r="E123" s="397" t="str">
        <f t="shared" si="1"/>
        <v>111111,12</v>
      </c>
      <c r="F123" s="397" t="str">
        <f t="shared" si="1"/>
        <v>222222,12</v>
      </c>
      <c r="G123" s="397" t="str">
        <f t="shared" si="1"/>
        <v>333333,12</v>
      </c>
      <c r="H123" s="397" t="str">
        <f t="shared" si="1"/>
        <v>444444,12</v>
      </c>
      <c r="I123" s="397" t="str">
        <f t="shared" si="1"/>
        <v>555555,12</v>
      </c>
      <c r="J123" s="397" t="str">
        <f>IF(J122="",J121,J122)</f>
        <v>666666,12</v>
      </c>
      <c r="K123" s="539">
        <f t="shared" ref="K123:L123" si="2">IF(K122="",K121,K122)</f>
        <v>44041</v>
      </c>
      <c r="L123" s="543">
        <f t="shared" si="2"/>
        <v>0.40902777777777777</v>
      </c>
      <c r="M123" s="390"/>
      <c r="N123" s="390"/>
      <c r="O123" s="390"/>
      <c r="P123" s="390"/>
      <c r="Q123" s="390"/>
      <c r="R123" s="390"/>
      <c r="S123" s="390"/>
      <c r="AA123" s="390"/>
    </row>
    <row r="124" spans="1:30" x14ac:dyDescent="0.25">
      <c r="A124" s="1334" t="s">
        <v>449</v>
      </c>
      <c r="B124" s="1335"/>
      <c r="C124" s="396" t="str">
        <f>IF('RAPPORTO ISPEZIONE'!F204="","",'RAPPORTO ISPEZIONE'!F204)</f>
        <v>000001,30</v>
      </c>
      <c r="D124" s="396" t="str">
        <f>IF('RAPPORTO ISPEZIONE'!G204="","",'RAPPORTO ISPEZIONE'!G204)</f>
        <v>000002,40</v>
      </c>
      <c r="E124" s="396" t="str">
        <f>IF('RAPPORTO ISPEZIONE'!H204="","",'RAPPORTO ISPEZIONE'!H204)</f>
        <v>111111,13</v>
      </c>
      <c r="F124" s="396" t="str">
        <f>IF('RAPPORTO ISPEZIONE'!I204="","",'RAPPORTO ISPEZIONE'!I204)</f>
        <v>222222,13</v>
      </c>
      <c r="G124" s="396" t="str">
        <f>IF('RAPPORTO ISPEZIONE'!J204="","",'RAPPORTO ISPEZIONE'!J204)</f>
        <v>333333,13</v>
      </c>
      <c r="H124" s="396" t="str">
        <f>IF('RAPPORTO ISPEZIONE'!K204="","",'RAPPORTO ISPEZIONE'!K204)</f>
        <v>444444,13</v>
      </c>
      <c r="I124" s="396" t="str">
        <f>IF('RAPPORTO ISPEZIONE'!L204="","",'RAPPORTO ISPEZIONE'!L204)</f>
        <v>555555,13</v>
      </c>
      <c r="J124" s="396" t="str">
        <f>IF('RAPPORTO ISPEZIONE'!M204="","",'RAPPORTO ISPEZIONE'!M204)</f>
        <v>666666,13</v>
      </c>
      <c r="K124" s="538">
        <f>IF('RAPPORTO ISPEZIONE'!D203="","",'RAPPORTO ISPEZIONE'!D203)</f>
        <v>44041</v>
      </c>
      <c r="L124" s="541">
        <f>IF('RAPPORTO ISPEZIONE'!D204="","",'RAPPORTO ISPEZIONE'!D204)</f>
        <v>0.42708333333333331</v>
      </c>
      <c r="M124" s="391"/>
      <c r="N124" s="391"/>
      <c r="O124" s="390"/>
      <c r="P124" s="390"/>
      <c r="Q124" s="390"/>
      <c r="R124" s="390"/>
      <c r="S124" s="390"/>
      <c r="AA124" s="390"/>
    </row>
    <row r="125" spans="1:30" x14ac:dyDescent="0.25">
      <c r="A125" s="1336"/>
      <c r="B125" s="1337"/>
      <c r="C125" s="286"/>
      <c r="D125" s="286"/>
      <c r="E125" s="286"/>
      <c r="F125" s="286"/>
      <c r="G125" s="286"/>
      <c r="H125" s="286"/>
      <c r="I125" s="286"/>
      <c r="J125" s="286"/>
      <c r="K125" s="540"/>
      <c r="L125" s="542"/>
      <c r="M125" s="391"/>
      <c r="N125" s="391"/>
      <c r="O125" s="390"/>
      <c r="P125" s="390"/>
      <c r="Q125" s="390"/>
      <c r="R125" s="390"/>
      <c r="S125" s="390"/>
      <c r="AA125" s="390"/>
    </row>
    <row r="126" spans="1:30" x14ac:dyDescent="0.25">
      <c r="A126" s="1338"/>
      <c r="B126" s="1339"/>
      <c r="C126" s="397" t="str">
        <f t="shared" ref="C126" si="3">IF(C125="",C124,C125)</f>
        <v>000001,30</v>
      </c>
      <c r="D126" s="397" t="str">
        <f t="shared" ref="D126" si="4">IF(D125="",D124,D125)</f>
        <v>000002,40</v>
      </c>
      <c r="E126" s="397" t="str">
        <f t="shared" ref="E126" si="5">IF(E125="",E124,E125)</f>
        <v>111111,13</v>
      </c>
      <c r="F126" s="397" t="str">
        <f t="shared" ref="F126" si="6">IF(F125="",F124,F125)</f>
        <v>222222,13</v>
      </c>
      <c r="G126" s="397" t="str">
        <f t="shared" ref="G126" si="7">IF(G125="",G124,G125)</f>
        <v>333333,13</v>
      </c>
      <c r="H126" s="397" t="str">
        <f t="shared" ref="H126" si="8">IF(H125="",H124,H125)</f>
        <v>444444,13</v>
      </c>
      <c r="I126" s="397" t="str">
        <f t="shared" ref="I126" si="9">IF(I125="",I124,I125)</f>
        <v>555555,13</v>
      </c>
      <c r="J126" s="397" t="str">
        <f t="shared" ref="J126:K126" si="10">IF(J125="",J124,J125)</f>
        <v>666666,13</v>
      </c>
      <c r="K126" s="539">
        <f t="shared" si="10"/>
        <v>44041</v>
      </c>
      <c r="L126" s="543">
        <f t="shared" ref="L126" si="11">IF(L125="",L124,L125)</f>
        <v>0.42708333333333331</v>
      </c>
      <c r="M126" s="391"/>
      <c r="N126" s="391"/>
      <c r="O126" s="390"/>
      <c r="P126" s="390"/>
      <c r="Q126" s="390"/>
      <c r="R126" s="390"/>
      <c r="S126" s="390"/>
      <c r="AA126" s="390"/>
    </row>
    <row r="127" spans="1:30" x14ac:dyDescent="0.25">
      <c r="A127" s="391"/>
      <c r="B127" s="391"/>
      <c r="C127" s="391"/>
      <c r="D127" s="391"/>
      <c r="E127" s="391"/>
      <c r="F127" s="391"/>
      <c r="G127" s="391"/>
      <c r="H127" s="391"/>
      <c r="I127" s="391"/>
      <c r="J127" s="391"/>
      <c r="K127" s="391"/>
      <c r="L127" s="391"/>
      <c r="M127" s="391"/>
      <c r="N127" s="391"/>
      <c r="O127" s="391"/>
      <c r="P127" s="391"/>
      <c r="Q127" s="391"/>
    </row>
    <row r="128" spans="1:30" ht="18.75" x14ac:dyDescent="0.3">
      <c r="A128" s="386" t="s">
        <v>531</v>
      </c>
      <c r="B128" s="391"/>
      <c r="C128" s="391"/>
      <c r="D128" s="391"/>
      <c r="E128" s="391"/>
      <c r="F128" s="391"/>
      <c r="G128" s="391"/>
      <c r="H128" s="391"/>
      <c r="I128" s="391"/>
      <c r="J128" s="391"/>
      <c r="K128" s="391"/>
      <c r="L128" s="391"/>
      <c r="M128" s="391"/>
      <c r="N128" s="391"/>
      <c r="O128" s="391"/>
      <c r="P128" s="391"/>
      <c r="Q128" s="391"/>
    </row>
    <row r="129" spans="1:34" x14ac:dyDescent="0.25">
      <c r="A129" s="1405" t="s">
        <v>444</v>
      </c>
      <c r="B129" s="1405"/>
      <c r="C129" s="1468" t="s">
        <v>445</v>
      </c>
      <c r="D129" s="1468"/>
      <c r="E129" s="1468" t="s">
        <v>446</v>
      </c>
      <c r="F129" s="1468"/>
      <c r="G129" s="1468"/>
      <c r="H129" s="1468"/>
      <c r="I129" s="1468"/>
      <c r="J129" s="1468"/>
      <c r="K129" s="1479" t="s">
        <v>1154</v>
      </c>
      <c r="L129" s="1479" t="s">
        <v>1155</v>
      </c>
      <c r="M129" s="391"/>
      <c r="N129" s="391"/>
      <c r="O129" s="391"/>
      <c r="P129" s="391"/>
      <c r="Q129" s="391"/>
    </row>
    <row r="130" spans="1:34" x14ac:dyDescent="0.25">
      <c r="A130" s="1334" t="s">
        <v>447</v>
      </c>
      <c r="B130" s="1335"/>
      <c r="C130" s="396" t="str">
        <f>IF('RAPPORTO ISPEZIONE'!F214="","",'RAPPORTO ISPEZIONE'!F214)</f>
        <v>1.8.0</v>
      </c>
      <c r="D130" s="396" t="str">
        <f>IF('RAPPORTO ISPEZIONE'!G214="","",'RAPPORTO ISPEZIONE'!G214)</f>
        <v>2.8.0</v>
      </c>
      <c r="E130" s="396" t="str">
        <f>IF('RAPPORTO ISPEZIONE'!H214="","",'RAPPORTO ISPEZIONE'!H214)</f>
        <v>3.8.0</v>
      </c>
      <c r="F130" s="396" t="str">
        <f>IF('RAPPORTO ISPEZIONE'!I214="","",'RAPPORTO ISPEZIONE'!I214)</f>
        <v>5.8.0</v>
      </c>
      <c r="G130" s="396" t="str">
        <f>IF('RAPPORTO ISPEZIONE'!J214="","",'RAPPORTO ISPEZIONE'!J214)</f>
        <v>6.8.0</v>
      </c>
      <c r="H130" s="396" t="str">
        <f>IF('RAPPORTO ISPEZIONE'!K214="","",'RAPPORTO ISPEZIONE'!K214)</f>
        <v>7.8.0</v>
      </c>
      <c r="I130" s="396" t="str">
        <f>IF('RAPPORTO ISPEZIONE'!L214="","",'RAPPORTO ISPEZIONE'!L214)</f>
        <v>8.8.0</v>
      </c>
      <c r="J130" s="396" t="str">
        <f>IF('RAPPORTO ISPEZIONE'!M214="","",'RAPPORTO ISPEZIONE'!M214)</f>
        <v>kWh</v>
      </c>
      <c r="K130" s="1480"/>
      <c r="L130" s="1480"/>
      <c r="M130" s="391"/>
      <c r="N130" s="391"/>
      <c r="O130" s="391"/>
      <c r="P130" s="391"/>
      <c r="Q130" s="391"/>
    </row>
    <row r="131" spans="1:34" x14ac:dyDescent="0.25">
      <c r="A131" s="1336"/>
      <c r="B131" s="1337"/>
      <c r="C131" s="284"/>
      <c r="D131" s="284"/>
      <c r="E131" s="284"/>
      <c r="F131" s="284"/>
      <c r="G131" s="284"/>
      <c r="H131" s="284"/>
      <c r="I131" s="284"/>
      <c r="J131" s="284"/>
      <c r="K131" s="1480"/>
      <c r="L131" s="1480"/>
      <c r="M131" s="391"/>
      <c r="N131" s="391"/>
      <c r="O131" s="391"/>
      <c r="P131" s="391"/>
      <c r="Q131" s="391"/>
    </row>
    <row r="132" spans="1:34" x14ac:dyDescent="0.25">
      <c r="A132" s="1338"/>
      <c r="B132" s="1339"/>
      <c r="C132" s="397" t="str">
        <f t="shared" ref="C132" si="12">IF(C131="",C130,C131)</f>
        <v>1.8.0</v>
      </c>
      <c r="D132" s="397" t="str">
        <f t="shared" ref="D132" si="13">IF(D131="",D130,D131)</f>
        <v>2.8.0</v>
      </c>
      <c r="E132" s="397" t="str">
        <f t="shared" ref="E132" si="14">IF(E131="",E130,E131)</f>
        <v>3.8.0</v>
      </c>
      <c r="F132" s="397" t="str">
        <f>IF(F131="",F130,F131)</f>
        <v>5.8.0</v>
      </c>
      <c r="G132" s="397" t="str">
        <f t="shared" ref="G132" si="15">IF(G131="",G130,G131)</f>
        <v>6.8.0</v>
      </c>
      <c r="H132" s="397" t="str">
        <f t="shared" ref="H132" si="16">IF(H131="",H130,H131)</f>
        <v>7.8.0</v>
      </c>
      <c r="I132" s="397" t="str">
        <f t="shared" ref="I132" si="17">IF(I131="",I130,I131)</f>
        <v>8.8.0</v>
      </c>
      <c r="J132" s="397" t="str">
        <f t="shared" ref="J132" si="18">IF(J131="",J130,J131)</f>
        <v>kWh</v>
      </c>
      <c r="K132" s="1481"/>
      <c r="L132" s="1481"/>
      <c r="M132" s="391"/>
      <c r="N132" s="391"/>
      <c r="O132" s="391"/>
      <c r="P132" s="391"/>
      <c r="Q132" s="391"/>
    </row>
    <row r="133" spans="1:34" x14ac:dyDescent="0.25">
      <c r="A133" s="1334" t="s">
        <v>448</v>
      </c>
      <c r="B133" s="1335"/>
      <c r="C133" s="396" t="str">
        <f>IF('RAPPORTO ISPEZIONE'!F215="","",'RAPPORTO ISPEZIONE'!F215)</f>
        <v>000001,40</v>
      </c>
      <c r="D133" s="396" t="str">
        <f>IF('RAPPORTO ISPEZIONE'!G215="","",'RAPPORTO ISPEZIONE'!G215)</f>
        <v>000002,50</v>
      </c>
      <c r="E133" s="396" t="str">
        <f>IF('RAPPORTO ISPEZIONE'!H215="","",'RAPPORTO ISPEZIONE'!H215)</f>
        <v>111111,14</v>
      </c>
      <c r="F133" s="396" t="str">
        <f>IF('RAPPORTO ISPEZIONE'!I215="","",'RAPPORTO ISPEZIONE'!I215)</f>
        <v>222222,14</v>
      </c>
      <c r="G133" s="396" t="str">
        <f>IF('RAPPORTO ISPEZIONE'!J215="","",'RAPPORTO ISPEZIONE'!J215)</f>
        <v>333333,14</v>
      </c>
      <c r="H133" s="396" t="str">
        <f>IF('RAPPORTO ISPEZIONE'!K215="","",'RAPPORTO ISPEZIONE'!K215)</f>
        <v>444444,14</v>
      </c>
      <c r="I133" s="396" t="str">
        <f>IF('RAPPORTO ISPEZIONE'!L215="","",'RAPPORTO ISPEZIONE'!L215)</f>
        <v>555555,14</v>
      </c>
      <c r="J133" s="396" t="str">
        <f>IF('RAPPORTO ISPEZIONE'!M215="","",'RAPPORTO ISPEZIONE'!M215)</f>
        <v>666666,14</v>
      </c>
      <c r="K133" s="538">
        <f>IF('RAPPORTO ISPEZIONE'!D214="","",'RAPPORTO ISPEZIONE'!D214)</f>
        <v>44041</v>
      </c>
      <c r="L133" s="541">
        <f>IF('RAPPORTO ISPEZIONE'!D215="","",'RAPPORTO ISPEZIONE'!D215)</f>
        <v>0.42777777777777781</v>
      </c>
      <c r="M133" s="391"/>
      <c r="N133" s="391"/>
      <c r="O133" s="391"/>
      <c r="P133" s="391"/>
      <c r="Q133" s="391"/>
    </row>
    <row r="134" spans="1:34" x14ac:dyDescent="0.25">
      <c r="A134" s="1336"/>
      <c r="B134" s="1337"/>
      <c r="C134" s="286"/>
      <c r="D134" s="286"/>
      <c r="E134" s="286"/>
      <c r="F134" s="286"/>
      <c r="G134" s="286"/>
      <c r="H134" s="286"/>
      <c r="I134" s="286"/>
      <c r="J134" s="286"/>
      <c r="K134" s="540"/>
      <c r="L134" s="542"/>
      <c r="M134" s="391"/>
      <c r="N134" s="391"/>
      <c r="O134" s="391"/>
      <c r="P134" s="391"/>
      <c r="Q134" s="391"/>
    </row>
    <row r="135" spans="1:34" x14ac:dyDescent="0.25">
      <c r="A135" s="1338"/>
      <c r="B135" s="1339"/>
      <c r="C135" s="397" t="str">
        <f t="shared" ref="C135" si="19">IF(C134="",C133,C134)</f>
        <v>000001,40</v>
      </c>
      <c r="D135" s="397" t="str">
        <f t="shared" ref="D135" si="20">IF(D134="",D133,D134)</f>
        <v>000002,50</v>
      </c>
      <c r="E135" s="397" t="str">
        <f t="shared" ref="E135" si="21">IF(E134="",E133,E134)</f>
        <v>111111,14</v>
      </c>
      <c r="F135" s="397" t="str">
        <f t="shared" ref="F135" si="22">IF(F134="",F133,F134)</f>
        <v>222222,14</v>
      </c>
      <c r="G135" s="397" t="str">
        <f t="shared" ref="G135" si="23">IF(G134="",G133,G134)</f>
        <v>333333,14</v>
      </c>
      <c r="H135" s="397" t="str">
        <f t="shared" ref="H135" si="24">IF(H134="",H133,H134)</f>
        <v>444444,14</v>
      </c>
      <c r="I135" s="397" t="str">
        <f t="shared" ref="I135" si="25">IF(I134="",I133,I134)</f>
        <v>555555,14</v>
      </c>
      <c r="J135" s="397" t="str">
        <f t="shared" ref="J135:K135" si="26">IF(J134="",J133,J134)</f>
        <v>666666,14</v>
      </c>
      <c r="K135" s="539">
        <f t="shared" si="26"/>
        <v>44041</v>
      </c>
      <c r="L135" s="543">
        <f t="shared" ref="L135" si="27">IF(L134="",L133,L134)</f>
        <v>0.42777777777777781</v>
      </c>
      <c r="M135" s="391"/>
      <c r="N135" s="391"/>
      <c r="O135" s="391"/>
      <c r="P135" s="391"/>
      <c r="Q135" s="391"/>
    </row>
    <row r="136" spans="1:34" x14ac:dyDescent="0.25">
      <c r="A136" s="1334" t="s">
        <v>449</v>
      </c>
      <c r="B136" s="1335"/>
      <c r="C136" s="396" t="str">
        <f>IF('RAPPORTO ISPEZIONE'!F234="","",'RAPPORTO ISPEZIONE'!F234)</f>
        <v>000001,50</v>
      </c>
      <c r="D136" s="396" t="str">
        <f>IF('RAPPORTO ISPEZIONE'!G234="","",'RAPPORTO ISPEZIONE'!G234)</f>
        <v>000002,60</v>
      </c>
      <c r="E136" s="396" t="str">
        <f>IF('RAPPORTO ISPEZIONE'!H234="","",'RAPPORTO ISPEZIONE'!H234)</f>
        <v>111111,15</v>
      </c>
      <c r="F136" s="396" t="str">
        <f>IF('RAPPORTO ISPEZIONE'!I234="","",'RAPPORTO ISPEZIONE'!I234)</f>
        <v>222222,15</v>
      </c>
      <c r="G136" s="396" t="str">
        <f>IF('RAPPORTO ISPEZIONE'!J234="","",'RAPPORTO ISPEZIONE'!J234)</f>
        <v>333333,15</v>
      </c>
      <c r="H136" s="396" t="str">
        <f>IF('RAPPORTO ISPEZIONE'!K234="","",'RAPPORTO ISPEZIONE'!K234)</f>
        <v>444444,15</v>
      </c>
      <c r="I136" s="396" t="str">
        <f>IF('RAPPORTO ISPEZIONE'!L234="","",'RAPPORTO ISPEZIONE'!L234)</f>
        <v>555555,15</v>
      </c>
      <c r="J136" s="396" t="str">
        <f>IF('RAPPORTO ISPEZIONE'!M234="","",'RAPPORTO ISPEZIONE'!M234)</f>
        <v>666666,15</v>
      </c>
      <c r="K136" s="538">
        <f>IF('RAPPORTO ISPEZIONE'!D233="","",'RAPPORTO ISPEZIONE'!D233)</f>
        <v>44041</v>
      </c>
      <c r="L136" s="541">
        <f>IF('RAPPORTO ISPEZIONE'!D234="","",'RAPPORTO ISPEZIONE'!D234)</f>
        <v>0.4375</v>
      </c>
      <c r="M136" s="391"/>
      <c r="N136" s="391"/>
      <c r="O136" s="391"/>
      <c r="P136" s="391"/>
      <c r="Q136" s="391"/>
    </row>
    <row r="137" spans="1:34" x14ac:dyDescent="0.25">
      <c r="A137" s="1336"/>
      <c r="B137" s="1337"/>
      <c r="C137" s="286"/>
      <c r="D137" s="286"/>
      <c r="E137" s="286"/>
      <c r="F137" s="286"/>
      <c r="G137" s="286"/>
      <c r="H137" s="286"/>
      <c r="I137" s="286"/>
      <c r="J137" s="286"/>
      <c r="K137" s="540"/>
      <c r="L137" s="542"/>
      <c r="M137" s="391"/>
      <c r="N137" s="391"/>
      <c r="O137" s="391"/>
      <c r="P137" s="391"/>
      <c r="Q137" s="391"/>
    </row>
    <row r="138" spans="1:34" x14ac:dyDescent="0.25">
      <c r="A138" s="1338"/>
      <c r="B138" s="1339"/>
      <c r="C138" s="397" t="str">
        <f t="shared" ref="C138" si="28">IF(C137="",C136,C137)</f>
        <v>000001,50</v>
      </c>
      <c r="D138" s="397" t="str">
        <f t="shared" ref="D138" si="29">IF(D137="",D136,D137)</f>
        <v>000002,60</v>
      </c>
      <c r="E138" s="397" t="str">
        <f t="shared" ref="E138" si="30">IF(E137="",E136,E137)</f>
        <v>111111,15</v>
      </c>
      <c r="F138" s="397" t="str">
        <f t="shared" ref="F138" si="31">IF(F137="",F136,F137)</f>
        <v>222222,15</v>
      </c>
      <c r="G138" s="397" t="str">
        <f t="shared" ref="G138" si="32">IF(G137="",G136,G137)</f>
        <v>333333,15</v>
      </c>
      <c r="H138" s="397" t="str">
        <f t="shared" ref="H138" si="33">IF(H137="",H136,H137)</f>
        <v>444444,15</v>
      </c>
      <c r="I138" s="397" t="str">
        <f t="shared" ref="I138" si="34">IF(I137="",I136,I137)</f>
        <v>555555,15</v>
      </c>
      <c r="J138" s="397" t="str">
        <f t="shared" ref="J138:K138" si="35">IF(J137="",J136,J137)</f>
        <v>666666,15</v>
      </c>
      <c r="K138" s="539">
        <f t="shared" si="35"/>
        <v>44041</v>
      </c>
      <c r="L138" s="543">
        <f t="shared" ref="L138" si="36">IF(L137="",L136,L137)</f>
        <v>0.4375</v>
      </c>
      <c r="M138" s="391"/>
      <c r="N138" s="391"/>
      <c r="O138" s="391"/>
      <c r="P138" s="391"/>
      <c r="Q138" s="391"/>
    </row>
    <row r="139" spans="1:34" x14ac:dyDescent="0.25">
      <c r="AH139" s="3"/>
    </row>
    <row r="140" spans="1:34" ht="18.75" x14ac:dyDescent="0.3">
      <c r="A140" s="386" t="s">
        <v>184</v>
      </c>
    </row>
    <row r="141" spans="1:34" x14ac:dyDescent="0.25">
      <c r="A141" s="1363" t="s">
        <v>21</v>
      </c>
      <c r="B141" s="1363"/>
      <c r="C141" s="1363"/>
      <c r="D141" s="1363"/>
      <c r="E141" s="1363" t="s">
        <v>22</v>
      </c>
      <c r="F141" s="1363"/>
      <c r="G141" s="1371"/>
      <c r="H141" s="381" t="str">
        <f>IF('RAPPORTO ISPEZIONE'!F68="","",'RAPPORTO ISPEZIONE'!F68)</f>
        <v/>
      </c>
      <c r="J141" s="1363" t="s">
        <v>9</v>
      </c>
      <c r="K141" s="1382" t="s">
        <v>213</v>
      </c>
      <c r="L141" s="1383"/>
      <c r="M141" s="1384"/>
      <c r="N141" s="9"/>
      <c r="O141" s="289" t="s">
        <v>1230</v>
      </c>
      <c r="P141" s="398" t="str">
        <f>IF(AND(O141="X",H143="X"),"ERRORE","")</f>
        <v/>
      </c>
    </row>
    <row r="142" spans="1:34" x14ac:dyDescent="0.25">
      <c r="A142" s="1363"/>
      <c r="B142" s="1363"/>
      <c r="C142" s="1363"/>
      <c r="D142" s="1363"/>
      <c r="E142" s="1363"/>
      <c r="F142" s="1363"/>
      <c r="G142" s="1371"/>
      <c r="H142" s="283"/>
      <c r="J142" s="1363"/>
      <c r="K142" s="1350" t="s">
        <v>303</v>
      </c>
      <c r="L142" s="1351"/>
      <c r="M142" s="1352"/>
      <c r="N142" s="9">
        <v>1</v>
      </c>
      <c r="O142" s="289"/>
      <c r="S142" s="7"/>
      <c r="AA142" s="7"/>
      <c r="AB142" s="7"/>
    </row>
    <row r="143" spans="1:34" x14ac:dyDescent="0.25">
      <c r="A143" s="1363"/>
      <c r="B143" s="1363"/>
      <c r="C143" s="1363"/>
      <c r="D143" s="1363"/>
      <c r="E143" s="1363"/>
      <c r="F143" s="1363"/>
      <c r="G143" s="1371"/>
      <c r="H143" s="12" t="str">
        <f>IF(H142="",H141,H142)</f>
        <v/>
      </c>
      <c r="J143" s="1363"/>
      <c r="K143" s="1353"/>
      <c r="L143" s="1354"/>
      <c r="M143" s="1355"/>
      <c r="N143" s="9">
        <v>2</v>
      </c>
      <c r="O143" s="289"/>
    </row>
    <row r="144" spans="1:34" x14ac:dyDescent="0.25">
      <c r="A144" s="1363"/>
      <c r="B144" s="1363"/>
      <c r="C144" s="1363"/>
      <c r="D144" s="1363"/>
      <c r="E144" s="1363" t="s">
        <v>23</v>
      </c>
      <c r="F144" s="1363"/>
      <c r="G144" s="1371"/>
      <c r="H144" s="381" t="str">
        <f>IF(OR('RAPPORTO ISPEZIONE'!G68="X",'RAPPORTO ISPEZIONE'!H68="X"),"X","")</f>
        <v>X</v>
      </c>
      <c r="J144" s="1363"/>
      <c r="K144" s="1356"/>
      <c r="L144" s="1357"/>
      <c r="M144" s="1358"/>
      <c r="N144" s="9">
        <v>3</v>
      </c>
      <c r="O144" s="289" t="s">
        <v>1230</v>
      </c>
    </row>
    <row r="145" spans="1:18" x14ac:dyDescent="0.25">
      <c r="A145" s="1363"/>
      <c r="B145" s="1363"/>
      <c r="C145" s="1363"/>
      <c r="D145" s="1363"/>
      <c r="E145" s="1363"/>
      <c r="F145" s="1363"/>
      <c r="G145" s="1371"/>
      <c r="H145" s="283"/>
      <c r="J145" s="1363"/>
      <c r="K145" s="1350" t="s">
        <v>26</v>
      </c>
      <c r="L145" s="1351"/>
      <c r="M145" s="1352"/>
      <c r="N145" s="1379"/>
      <c r="O145" s="381" t="str">
        <f>IF('RAPPORTO ISPEZIONE'!D46="","",'RAPPORTO ISPEZIONE'!D46)</f>
        <v>0,5S</v>
      </c>
    </row>
    <row r="146" spans="1:18" x14ac:dyDescent="0.25">
      <c r="A146" s="1363"/>
      <c r="B146" s="1363"/>
      <c r="C146" s="1363"/>
      <c r="D146" s="1363"/>
      <c r="E146" s="1363"/>
      <c r="F146" s="1363"/>
      <c r="G146" s="1371"/>
      <c r="H146" s="12" t="str">
        <f>IF(H145="",H144,H145)</f>
        <v>X</v>
      </c>
      <c r="I146" s="399" t="str">
        <f>IF(H146="X",IF(OR(O141="X",O159="X"),"","ERRORE"),"")</f>
        <v/>
      </c>
      <c r="J146" s="1363"/>
      <c r="K146" s="1356"/>
      <c r="L146" s="1357"/>
      <c r="M146" s="1358"/>
      <c r="N146" s="1380"/>
      <c r="O146" s="467" t="s">
        <v>14</v>
      </c>
    </row>
    <row r="147" spans="1:18" x14ac:dyDescent="0.25">
      <c r="A147" s="1363" t="s">
        <v>64</v>
      </c>
      <c r="B147" s="1363"/>
      <c r="C147" s="1363"/>
      <c r="D147" s="1363"/>
      <c r="E147" s="1371"/>
      <c r="F147" s="1371"/>
      <c r="G147" s="1371"/>
      <c r="H147" s="381" t="str">
        <f>IF('RAPPORTO ISPEZIONE'!L87="","",'RAPPORTO ISPEZIONE'!L87)</f>
        <v>X</v>
      </c>
      <c r="J147" s="1363"/>
      <c r="K147" s="1350" t="s">
        <v>320</v>
      </c>
      <c r="L147" s="1351"/>
      <c r="M147" s="1352"/>
      <c r="N147" s="1347" t="s">
        <v>20</v>
      </c>
      <c r="O147" s="381">
        <f>IF('RAPPORTO ISPEZIONE'!D45="","",'RAPPORTO ISPEZIONE'!D45)</f>
        <v>150</v>
      </c>
    </row>
    <row r="148" spans="1:18" x14ac:dyDescent="0.25">
      <c r="A148" s="1363"/>
      <c r="B148" s="1363"/>
      <c r="C148" s="1363"/>
      <c r="D148" s="1363"/>
      <c r="E148" s="1371"/>
      <c r="F148" s="1371"/>
      <c r="G148" s="1371"/>
      <c r="H148" s="289" t="s">
        <v>1230</v>
      </c>
      <c r="J148" s="1363"/>
      <c r="K148" s="1353"/>
      <c r="L148" s="1354"/>
      <c r="M148" s="1355"/>
      <c r="N148" s="1348"/>
      <c r="O148" s="283"/>
    </row>
    <row r="149" spans="1:18" x14ac:dyDescent="0.25">
      <c r="A149" s="1363"/>
      <c r="B149" s="1363"/>
      <c r="C149" s="1363"/>
      <c r="D149" s="1363"/>
      <c r="E149" s="1371"/>
      <c r="F149" s="1371"/>
      <c r="G149" s="1371"/>
      <c r="H149" s="12" t="str">
        <f>IF(H148="X","X","")</f>
        <v>X</v>
      </c>
      <c r="I149" s="399" t="str">
        <f>IF(AND(H149="X",H143="X"),"ERRORE","")</f>
        <v/>
      </c>
      <c r="J149" s="1363"/>
      <c r="K149" s="1356"/>
      <c r="L149" s="1357"/>
      <c r="M149" s="1358"/>
      <c r="N149" s="1349"/>
      <c r="O149" s="12">
        <f>IF(O148="",O147,O148)</f>
        <v>150</v>
      </c>
      <c r="P149" s="1" t="s">
        <v>999</v>
      </c>
    </row>
    <row r="150" spans="1:18" x14ac:dyDescent="0.25">
      <c r="A150" s="1363" t="s">
        <v>529</v>
      </c>
      <c r="B150" s="1363"/>
      <c r="C150" s="1363"/>
      <c r="D150" s="1363"/>
      <c r="E150" s="1457" t="s">
        <v>43</v>
      </c>
      <c r="F150" s="1363"/>
      <c r="G150" s="1371"/>
      <c r="H150" s="381" t="str">
        <f>IF('RAPPORTO ISPEZIONE'!K178="","",'RAPPORTO ISPEZIONE'!K178)</f>
        <v/>
      </c>
      <c r="J150" s="1363"/>
      <c r="K150" s="1350" t="s">
        <v>321</v>
      </c>
      <c r="L150" s="1351"/>
      <c r="M150" s="1352"/>
      <c r="N150" s="1347" t="s">
        <v>20</v>
      </c>
      <c r="O150" s="381">
        <f>IF('RAPPORTO ISPEZIONE'!F45="","",'RAPPORTO ISPEZIONE'!F45)</f>
        <v>5</v>
      </c>
    </row>
    <row r="151" spans="1:18" x14ac:dyDescent="0.25">
      <c r="A151" s="1363"/>
      <c r="B151" s="1363"/>
      <c r="C151" s="1363"/>
      <c r="D151" s="1363"/>
      <c r="E151" s="1457"/>
      <c r="F151" s="1363"/>
      <c r="G151" s="1371"/>
      <c r="H151" s="289"/>
      <c r="J151" s="1363"/>
      <c r="K151" s="1353"/>
      <c r="L151" s="1354"/>
      <c r="M151" s="1355"/>
      <c r="N151" s="1348"/>
      <c r="O151" s="283"/>
    </row>
    <row r="152" spans="1:18" x14ac:dyDescent="0.25">
      <c r="A152" s="1363"/>
      <c r="B152" s="1363"/>
      <c r="C152" s="1363"/>
      <c r="D152" s="1363"/>
      <c r="E152" s="1457"/>
      <c r="F152" s="1363"/>
      <c r="G152" s="1371"/>
      <c r="H152" s="12" t="str">
        <f>IF(H151="X","X","")</f>
        <v/>
      </c>
      <c r="J152" s="1363"/>
      <c r="K152" s="1356"/>
      <c r="L152" s="1357"/>
      <c r="M152" s="1358"/>
      <c r="N152" s="1349"/>
      <c r="O152" s="12">
        <f>IF(O151="",O150,O151)</f>
        <v>5</v>
      </c>
      <c r="P152" s="1" t="s">
        <v>999</v>
      </c>
    </row>
    <row r="153" spans="1:18" x14ac:dyDescent="0.25">
      <c r="A153" s="1363"/>
      <c r="B153" s="1363"/>
      <c r="C153" s="1363"/>
      <c r="D153" s="1363"/>
      <c r="E153" s="1363" t="s">
        <v>44</v>
      </c>
      <c r="F153" s="1363"/>
      <c r="G153" s="1371"/>
      <c r="H153" s="381" t="str">
        <f>IF('RAPPORTO ISPEZIONE'!M178="","",'RAPPORTO ISPEZIONE'!M178)</f>
        <v>X</v>
      </c>
      <c r="J153" s="1363"/>
      <c r="K153" s="1350" t="s">
        <v>216</v>
      </c>
      <c r="L153" s="1351"/>
      <c r="M153" s="1352"/>
      <c r="N153" s="1347" t="s">
        <v>84</v>
      </c>
      <c r="O153" s="381">
        <f>IF('RAPPORTO ISPEZIONE'!D47="","",'RAPPORTO ISPEZIONE'!D47)</f>
        <v>5</v>
      </c>
      <c r="R153" s="7"/>
    </row>
    <row r="154" spans="1:18" x14ac:dyDescent="0.25">
      <c r="A154" s="1363"/>
      <c r="B154" s="1363"/>
      <c r="C154" s="1363"/>
      <c r="D154" s="1363"/>
      <c r="E154" s="1363"/>
      <c r="F154" s="1363"/>
      <c r="G154" s="1371"/>
      <c r="H154" s="289" t="s">
        <v>1230</v>
      </c>
      <c r="J154" s="1363"/>
      <c r="K154" s="1353"/>
      <c r="L154" s="1354"/>
      <c r="M154" s="1355"/>
      <c r="N154" s="1348"/>
      <c r="O154" s="283"/>
      <c r="R154" s="7"/>
    </row>
    <row r="155" spans="1:18" x14ac:dyDescent="0.25">
      <c r="A155" s="1363"/>
      <c r="B155" s="1363"/>
      <c r="C155" s="1363"/>
      <c r="D155" s="1363"/>
      <c r="E155" s="1363"/>
      <c r="F155" s="1363"/>
      <c r="G155" s="1371"/>
      <c r="H155" s="12" t="str">
        <f>IF(H154="X","X","")</f>
        <v>X</v>
      </c>
      <c r="I155" s="399" t="str">
        <f>IF(AND(H155="X",H143="X"),"ERRORE","")</f>
        <v/>
      </c>
      <c r="J155" s="1363"/>
      <c r="K155" s="1356"/>
      <c r="L155" s="1357"/>
      <c r="M155" s="1358"/>
      <c r="N155" s="1349"/>
      <c r="O155" s="12">
        <f>IF(O154="",O153,O154)</f>
        <v>5</v>
      </c>
      <c r="P155" s="1" t="s">
        <v>999</v>
      </c>
      <c r="R155" s="7"/>
    </row>
    <row r="156" spans="1:18" x14ac:dyDescent="0.25">
      <c r="A156" s="1363" t="s">
        <v>530</v>
      </c>
      <c r="B156" s="1363"/>
      <c r="C156" s="1363"/>
      <c r="D156" s="1363"/>
      <c r="E156" s="1368" t="s">
        <v>43</v>
      </c>
      <c r="F156" s="1368"/>
      <c r="G156" s="1458"/>
      <c r="H156" s="381" t="str">
        <f>IF('RAPPORTO ISPEZIONE'!K212="","",'RAPPORTO ISPEZIONE'!K212)</f>
        <v/>
      </c>
      <c r="J156" s="1363"/>
      <c r="K156" s="1382" t="s">
        <v>217</v>
      </c>
      <c r="L156" s="1383"/>
      <c r="M156" s="1384"/>
      <c r="N156" s="9" t="s">
        <v>84</v>
      </c>
      <c r="O156" s="400">
        <f>IF($O$141="X",IF($E$837="X",E856,IF($E$838="X",E839,"Non nota")),"")</f>
        <v>1.56</v>
      </c>
    </row>
    <row r="157" spans="1:18" x14ac:dyDescent="0.25">
      <c r="A157" s="1363"/>
      <c r="B157" s="1363"/>
      <c r="C157" s="1363"/>
      <c r="D157" s="1363"/>
      <c r="E157" s="1368"/>
      <c r="F157" s="1368"/>
      <c r="G157" s="1482"/>
      <c r="H157" s="289"/>
      <c r="J157" s="1363"/>
      <c r="K157" s="1382" t="s">
        <v>218</v>
      </c>
      <c r="L157" s="1383"/>
      <c r="M157" s="1384"/>
      <c r="N157" s="9" t="s">
        <v>84</v>
      </c>
      <c r="O157" s="400">
        <f>IF($O$141="X",IF($E$837="X",E871,IF($E$838="X",E840,"Non nota")),"")</f>
        <v>1.62</v>
      </c>
    </row>
    <row r="158" spans="1:18" x14ac:dyDescent="0.25">
      <c r="A158" s="1363"/>
      <c r="B158" s="1363"/>
      <c r="C158" s="1363"/>
      <c r="D158" s="1363"/>
      <c r="E158" s="1368"/>
      <c r="F158" s="1368"/>
      <c r="G158" s="1482"/>
      <c r="H158" s="12" t="str">
        <f>IF(H157="X","X","")</f>
        <v/>
      </c>
      <c r="J158" s="1363"/>
      <c r="K158" s="1382" t="s">
        <v>219</v>
      </c>
      <c r="L158" s="1383"/>
      <c r="M158" s="1384"/>
      <c r="N158" s="9" t="s">
        <v>84</v>
      </c>
      <c r="O158" s="400">
        <f>IF($O$141="X",IF($E$837="X",E886,IF($E$838="X",E841,"Non nota")),"")</f>
        <v>1.61</v>
      </c>
    </row>
    <row r="159" spans="1:18" x14ac:dyDescent="0.25">
      <c r="A159" s="1363"/>
      <c r="B159" s="1363"/>
      <c r="C159" s="1363"/>
      <c r="D159" s="1363"/>
      <c r="E159" s="1363" t="s">
        <v>44</v>
      </c>
      <c r="F159" s="1363"/>
      <c r="G159" s="1371"/>
      <c r="H159" s="381" t="str">
        <f>IF('RAPPORTO ISPEZIONE'!M212="","",'RAPPORTO ISPEZIONE'!M212)</f>
        <v>X</v>
      </c>
      <c r="J159" s="1363" t="s">
        <v>10</v>
      </c>
      <c r="K159" s="1382" t="s">
        <v>214</v>
      </c>
      <c r="L159" s="1383"/>
      <c r="M159" s="1384"/>
      <c r="N159" s="9"/>
      <c r="O159" s="289" t="s">
        <v>1230</v>
      </c>
      <c r="P159" s="398" t="str">
        <f>IF(AND(O159="X",H143="X"),"ERRORE","")</f>
        <v/>
      </c>
    </row>
    <row r="160" spans="1:18" x14ac:dyDescent="0.25">
      <c r="A160" s="1363"/>
      <c r="B160" s="1363"/>
      <c r="C160" s="1363"/>
      <c r="D160" s="1363"/>
      <c r="E160" s="1363"/>
      <c r="F160" s="1363"/>
      <c r="G160" s="1371"/>
      <c r="H160" s="289" t="s">
        <v>1230</v>
      </c>
      <c r="J160" s="1363"/>
      <c r="K160" s="1350" t="s">
        <v>304</v>
      </c>
      <c r="L160" s="1351"/>
      <c r="M160" s="1352"/>
      <c r="N160" s="9">
        <v>1</v>
      </c>
      <c r="O160" s="289"/>
    </row>
    <row r="161" spans="1:16" x14ac:dyDescent="0.25">
      <c r="A161" s="1363"/>
      <c r="B161" s="1363"/>
      <c r="C161" s="1363"/>
      <c r="D161" s="1363"/>
      <c r="E161" s="1363"/>
      <c r="F161" s="1363"/>
      <c r="G161" s="1371"/>
      <c r="H161" s="12" t="str">
        <f>IF(H160="X","X","")</f>
        <v>X</v>
      </c>
      <c r="I161" s="399" t="str">
        <f>IF(AND(H161="X",H143="X"),"ERRORE","")</f>
        <v/>
      </c>
      <c r="J161" s="1363"/>
      <c r="K161" s="1353"/>
      <c r="L161" s="1354"/>
      <c r="M161" s="1355"/>
      <c r="N161" s="9">
        <v>2</v>
      </c>
      <c r="O161" s="289"/>
    </row>
    <row r="162" spans="1:16" x14ac:dyDescent="0.25">
      <c r="A162" s="1381" t="s">
        <v>164</v>
      </c>
      <c r="B162" s="1381"/>
      <c r="C162" s="1381"/>
      <c r="D162" s="1381"/>
      <c r="E162" s="1436"/>
      <c r="F162" s="1436"/>
      <c r="G162" s="9"/>
      <c r="H162" s="289">
        <v>2</v>
      </c>
      <c r="J162" s="1363"/>
      <c r="K162" s="1356"/>
      <c r="L162" s="1357"/>
      <c r="M162" s="1358"/>
      <c r="N162" s="9">
        <v>3</v>
      </c>
      <c r="O162" s="289" t="s">
        <v>1230</v>
      </c>
    </row>
    <row r="163" spans="1:16" x14ac:dyDescent="0.25">
      <c r="A163" s="1381" t="s">
        <v>190</v>
      </c>
      <c r="B163" s="1381"/>
      <c r="C163" s="1381"/>
      <c r="D163" s="1381"/>
      <c r="E163" s="1436"/>
      <c r="F163" s="1436"/>
      <c r="G163" s="9"/>
      <c r="H163" s="289">
        <v>1</v>
      </c>
      <c r="J163" s="1363"/>
      <c r="K163" s="1350" t="s">
        <v>26</v>
      </c>
      <c r="L163" s="1351"/>
      <c r="M163" s="1352"/>
      <c r="N163" s="1379"/>
      <c r="O163" s="381" t="str">
        <f>IF('RAPPORTO ISPEZIONE'!H46="","",'RAPPORTO ISPEZIONE'!H46)</f>
        <v>0,2</v>
      </c>
    </row>
    <row r="164" spans="1:16" x14ac:dyDescent="0.25">
      <c r="A164" s="1381" t="s">
        <v>240</v>
      </c>
      <c r="B164" s="1381"/>
      <c r="C164" s="1381"/>
      <c r="D164" s="1381"/>
      <c r="E164" s="1436"/>
      <c r="F164" s="1436"/>
      <c r="G164" s="9"/>
      <c r="H164" s="12">
        <f>LOOKUP(C114,TABELLE!B145:B158,TABELLE!F145:F158)</f>
        <v>3</v>
      </c>
      <c r="J164" s="1363"/>
      <c r="K164" s="1356"/>
      <c r="L164" s="1357"/>
      <c r="M164" s="1358"/>
      <c r="N164" s="1380"/>
      <c r="O164" s="467" t="s">
        <v>1259</v>
      </c>
    </row>
    <row r="165" spans="1:16" x14ac:dyDescent="0.25">
      <c r="A165" s="1381" t="s">
        <v>579</v>
      </c>
      <c r="B165" s="1381"/>
      <c r="C165" s="1381"/>
      <c r="D165" s="1381"/>
      <c r="E165" s="1436"/>
      <c r="F165" s="1436"/>
      <c r="G165" s="9"/>
      <c r="H165" s="12">
        <v>2</v>
      </c>
      <c r="J165" s="1363"/>
      <c r="K165" s="1350" t="s">
        <v>319</v>
      </c>
      <c r="L165" s="1351"/>
      <c r="M165" s="1352"/>
      <c r="N165" s="1347" t="s">
        <v>61</v>
      </c>
      <c r="O165" s="381">
        <f>IF('RAPPORTO ISPEZIONE'!H45="","",'RAPPORTO ISPEZIONE'!H45)</f>
        <v>20000</v>
      </c>
    </row>
    <row r="166" spans="1:16" x14ac:dyDescent="0.25">
      <c r="A166" s="1381" t="s">
        <v>714</v>
      </c>
      <c r="B166" s="1381"/>
      <c r="C166" s="1381"/>
      <c r="D166" s="1381"/>
      <c r="E166" s="1436"/>
      <c r="F166" s="1436"/>
      <c r="G166" s="9"/>
      <c r="H166" s="12">
        <v>1</v>
      </c>
      <c r="J166" s="1363"/>
      <c r="K166" s="1353"/>
      <c r="L166" s="1354"/>
      <c r="M166" s="1355"/>
      <c r="N166" s="1348"/>
      <c r="O166" s="283"/>
    </row>
    <row r="167" spans="1:16" x14ac:dyDescent="0.25">
      <c r="A167" s="1381" t="s">
        <v>715</v>
      </c>
      <c r="B167" s="1381"/>
      <c r="C167" s="1381"/>
      <c r="D167" s="1381"/>
      <c r="E167" s="1436"/>
      <c r="F167" s="1436"/>
      <c r="G167" s="9"/>
      <c r="H167" s="12">
        <v>2</v>
      </c>
      <c r="J167" s="1363"/>
      <c r="K167" s="1356"/>
      <c r="L167" s="1357"/>
      <c r="M167" s="1358"/>
      <c r="N167" s="1349"/>
      <c r="O167" s="12">
        <f>IF(O166="",O165,O166)</f>
        <v>20000</v>
      </c>
      <c r="P167" s="1" t="s">
        <v>999</v>
      </c>
    </row>
    <row r="168" spans="1:16" ht="15" customHeight="1" x14ac:dyDescent="0.25">
      <c r="A168" s="1381" t="s">
        <v>716</v>
      </c>
      <c r="B168" s="1381"/>
      <c r="C168" s="1381"/>
      <c r="D168" s="1381"/>
      <c r="E168" s="1436"/>
      <c r="F168" s="1436"/>
      <c r="G168" s="9"/>
      <c r="H168" s="12">
        <v>2</v>
      </c>
      <c r="J168" s="1363"/>
      <c r="K168" s="1382" t="s">
        <v>620</v>
      </c>
      <c r="L168" s="1383"/>
      <c r="M168" s="1384"/>
      <c r="N168" s="9" t="s">
        <v>61</v>
      </c>
      <c r="O168" s="467" t="s">
        <v>1347</v>
      </c>
      <c r="P168" s="285"/>
    </row>
    <row r="169" spans="1:16" x14ac:dyDescent="0.25">
      <c r="A169" s="1363" t="s">
        <v>186</v>
      </c>
      <c r="B169" s="1363"/>
      <c r="C169" s="1363"/>
      <c r="D169" s="1363"/>
      <c r="E169" s="1371"/>
      <c r="F169" s="1371"/>
      <c r="G169" s="1363" t="s">
        <v>187</v>
      </c>
      <c r="H169" s="472">
        <f>'RAPPORTO ISPEZIONE'!K80</f>
        <v>17.600000000000001</v>
      </c>
      <c r="I169" s="5"/>
      <c r="J169" s="1363"/>
      <c r="K169" s="1363" t="s">
        <v>318</v>
      </c>
      <c r="L169" s="1363"/>
      <c r="M169" s="1363"/>
      <c r="N169" s="1363" t="s">
        <v>61</v>
      </c>
      <c r="O169" s="381">
        <f>IF('RAPPORTO ISPEZIONE'!J45="","",'RAPPORTO ISPEZIONE'!J45)</f>
        <v>100</v>
      </c>
    </row>
    <row r="170" spans="1:16" x14ac:dyDescent="0.25">
      <c r="A170" s="1363"/>
      <c r="B170" s="1363"/>
      <c r="C170" s="1363"/>
      <c r="D170" s="1363"/>
      <c r="E170" s="1371"/>
      <c r="F170" s="1371"/>
      <c r="G170" s="1363"/>
      <c r="H170" s="283"/>
      <c r="I170" s="5"/>
      <c r="J170" s="1363"/>
      <c r="K170" s="1363"/>
      <c r="L170" s="1363"/>
      <c r="M170" s="1363"/>
      <c r="N170" s="1363"/>
      <c r="O170" s="283"/>
    </row>
    <row r="171" spans="1:16" x14ac:dyDescent="0.25">
      <c r="A171" s="1363"/>
      <c r="B171" s="1363"/>
      <c r="C171" s="1363"/>
      <c r="D171" s="1363"/>
      <c r="E171" s="1371"/>
      <c r="F171" s="1371"/>
      <c r="G171" s="1363"/>
      <c r="H171" s="109">
        <f>IF(H170="",H169,H170)</f>
        <v>17.600000000000001</v>
      </c>
      <c r="I171" s="1" t="s">
        <v>999</v>
      </c>
      <c r="J171" s="1363"/>
      <c r="K171" s="1363"/>
      <c r="L171" s="1363"/>
      <c r="M171" s="1363"/>
      <c r="N171" s="1363"/>
      <c r="O171" s="12">
        <f>IF(O170="",O169,O170)</f>
        <v>100</v>
      </c>
      <c r="P171" s="1" t="s">
        <v>999</v>
      </c>
    </row>
    <row r="172" spans="1:16" x14ac:dyDescent="0.25">
      <c r="A172" s="1351" t="s">
        <v>287</v>
      </c>
      <c r="B172" s="1351"/>
      <c r="C172" s="1351"/>
      <c r="D172" s="1352"/>
      <c r="E172" s="9"/>
      <c r="F172" s="1451" t="s">
        <v>1116</v>
      </c>
      <c r="G172" s="1452"/>
      <c r="H172" s="381" t="str">
        <f>IF('RAPPORTO ISPEZIONE'!C66="X","X","")</f>
        <v/>
      </c>
      <c r="J172" s="1363"/>
      <c r="K172" s="1382" t="s">
        <v>619</v>
      </c>
      <c r="L172" s="1383"/>
      <c r="M172" s="1384"/>
      <c r="N172" s="9" t="s">
        <v>61</v>
      </c>
      <c r="O172" s="467" t="s">
        <v>1278</v>
      </c>
      <c r="P172" s="285"/>
    </row>
    <row r="173" spans="1:16" x14ac:dyDescent="0.25">
      <c r="A173" s="1354"/>
      <c r="B173" s="1354"/>
      <c r="C173" s="1354"/>
      <c r="D173" s="1355"/>
      <c r="E173" s="9"/>
      <c r="F173" s="1453"/>
      <c r="G173" s="1454"/>
      <c r="H173" s="283"/>
      <c r="J173" s="1363"/>
      <c r="K173" s="1350" t="s">
        <v>216</v>
      </c>
      <c r="L173" s="1351"/>
      <c r="M173" s="1352"/>
      <c r="N173" s="1347" t="s">
        <v>84</v>
      </c>
      <c r="O173" s="381">
        <f>IF('RAPPORTO ISPEZIONE'!H47="","",'RAPPORTO ISPEZIONE'!H47)</f>
        <v>3</v>
      </c>
    </row>
    <row r="174" spans="1:16" x14ac:dyDescent="0.25">
      <c r="A174" s="1354"/>
      <c r="B174" s="1354"/>
      <c r="C174" s="1354"/>
      <c r="D174" s="1355"/>
      <c r="E174" s="9"/>
      <c r="F174" s="1455"/>
      <c r="G174" s="1456"/>
      <c r="H174" s="12" t="str">
        <f>IF(H173="",H172,H173)</f>
        <v/>
      </c>
      <c r="I174" s="399" t="str">
        <f>IF(AND(H180="X",O143="X"),"ERRORE",IF(AND(H180="X",O161="X"),"ERRORE",""))</f>
        <v/>
      </c>
      <c r="J174" s="1363"/>
      <c r="K174" s="1353"/>
      <c r="L174" s="1354"/>
      <c r="M174" s="1355"/>
      <c r="N174" s="1348"/>
      <c r="O174" s="283"/>
    </row>
    <row r="175" spans="1:16" ht="18" customHeight="1" x14ac:dyDescent="0.25">
      <c r="A175" s="1354"/>
      <c r="B175" s="1354"/>
      <c r="C175" s="1354"/>
      <c r="D175" s="1355"/>
      <c r="E175" s="9"/>
      <c r="F175" s="1451" t="s">
        <v>1119</v>
      </c>
      <c r="G175" s="1452"/>
      <c r="H175" s="381" t="str">
        <f>IF('RAPPORTO ISPEZIONE'!D66="X","X","")</f>
        <v>X</v>
      </c>
      <c r="J175" s="1363"/>
      <c r="K175" s="1356"/>
      <c r="L175" s="1357"/>
      <c r="M175" s="1358"/>
      <c r="N175" s="1349"/>
      <c r="O175" s="12">
        <f>IF(O174="",O173,O174)</f>
        <v>3</v>
      </c>
      <c r="P175" s="1" t="s">
        <v>999</v>
      </c>
    </row>
    <row r="176" spans="1:16" x14ac:dyDescent="0.25">
      <c r="A176" s="1354"/>
      <c r="B176" s="1354"/>
      <c r="C176" s="1354"/>
      <c r="D176" s="1355"/>
      <c r="E176" s="9"/>
      <c r="F176" s="1453"/>
      <c r="G176" s="1454"/>
      <c r="H176" s="283"/>
      <c r="J176" s="1363"/>
      <c r="K176" s="1382" t="s">
        <v>220</v>
      </c>
      <c r="L176" s="1383"/>
      <c r="M176" s="1384"/>
      <c r="N176" s="9" t="s">
        <v>84</v>
      </c>
      <c r="O176" s="400">
        <f>IF($O$159="X",IF($E$890="X",E909,IF($E$891="X",E892,"Non nota")),"")</f>
        <v>0.98</v>
      </c>
    </row>
    <row r="177" spans="1:16" x14ac:dyDescent="0.25">
      <c r="A177" s="1354"/>
      <c r="B177" s="1354"/>
      <c r="C177" s="1354"/>
      <c r="D177" s="1355"/>
      <c r="E177" s="9"/>
      <c r="F177" s="1455"/>
      <c r="G177" s="1456"/>
      <c r="H177" s="12" t="str">
        <f>IF(H176="",H175,H176)</f>
        <v>X</v>
      </c>
      <c r="J177" s="1363"/>
      <c r="K177" s="1382" t="s">
        <v>221</v>
      </c>
      <c r="L177" s="1383"/>
      <c r="M177" s="1384"/>
      <c r="N177" s="9" t="s">
        <v>84</v>
      </c>
      <c r="O177" s="400">
        <f>IF($O$159="X",IF($E$890="X",E924,IF($E$891="X",E893,"Non nota")),"")</f>
        <v>0.96</v>
      </c>
    </row>
    <row r="178" spans="1:16" x14ac:dyDescent="0.25">
      <c r="A178" s="1354"/>
      <c r="B178" s="1354"/>
      <c r="C178" s="1354"/>
      <c r="D178" s="1355"/>
      <c r="E178" s="9"/>
      <c r="F178" s="1347" t="s">
        <v>288</v>
      </c>
      <c r="G178" s="1347" t="s">
        <v>301</v>
      </c>
      <c r="H178" s="381" t="str">
        <f>IF('RAPPORTO ISPEZIONE'!H66="X","X","")</f>
        <v>X</v>
      </c>
      <c r="J178" s="1363"/>
      <c r="K178" s="1381" t="s">
        <v>222</v>
      </c>
      <c r="L178" s="1381"/>
      <c r="M178" s="1381"/>
      <c r="N178" s="9" t="s">
        <v>84</v>
      </c>
      <c r="O178" s="400">
        <f>IF($O$159="X",IF($E$890="X",E939,IF($E$891="X",E894,"Non nota")),"")</f>
        <v>0.97</v>
      </c>
    </row>
    <row r="179" spans="1:16" x14ac:dyDescent="0.25">
      <c r="A179" s="1354"/>
      <c r="B179" s="1354"/>
      <c r="C179" s="1354"/>
      <c r="D179" s="1355"/>
      <c r="E179" s="9"/>
      <c r="F179" s="1348"/>
      <c r="G179" s="1348"/>
      <c r="H179" s="283"/>
      <c r="J179" s="1350" t="s">
        <v>231</v>
      </c>
      <c r="K179" s="1351"/>
      <c r="L179" s="1351"/>
      <c r="M179" s="1352"/>
      <c r="N179" s="2" t="s">
        <v>626</v>
      </c>
      <c r="O179" s="289" t="s">
        <v>1230</v>
      </c>
    </row>
    <row r="180" spans="1:16" x14ac:dyDescent="0.25">
      <c r="A180" s="1354"/>
      <c r="B180" s="1354"/>
      <c r="C180" s="1354"/>
      <c r="D180" s="1355"/>
      <c r="E180" s="9"/>
      <c r="F180" s="1349"/>
      <c r="G180" s="1349"/>
      <c r="H180" s="12" t="str">
        <f>IF(H179="",H178,H179)</f>
        <v>X</v>
      </c>
      <c r="J180" s="1353"/>
      <c r="K180" s="1354"/>
      <c r="L180" s="1354"/>
      <c r="M180" s="1355"/>
      <c r="N180" s="2" t="s">
        <v>660</v>
      </c>
      <c r="O180" s="353" t="e">
        <f>IF($O$159="X",IF($O$160="X",IF(E954="SI","X",""),IF($O$161="X",IF(AND(E954="SI",E980="SI"),"X",""),IF($O$162="X",IF(AND(E954="SI",E967="SI",E980="SI"),"X","")))),"")</f>
        <v>#VALUE!</v>
      </c>
    </row>
    <row r="181" spans="1:16" x14ac:dyDescent="0.25">
      <c r="A181" s="1354"/>
      <c r="B181" s="1354"/>
      <c r="C181" s="1354"/>
      <c r="D181" s="1355"/>
      <c r="E181" s="9"/>
      <c r="F181" s="1347" t="s">
        <v>300</v>
      </c>
      <c r="G181" s="1347" t="s">
        <v>302</v>
      </c>
      <c r="H181" s="381" t="str">
        <f>IF(OR('RAPPORTO ISPEZIONE'!F66="X",'RAPPORTO ISPEZIONE'!G66="X"),"X","")</f>
        <v/>
      </c>
      <c r="J181" s="1356"/>
      <c r="K181" s="1357"/>
      <c r="L181" s="1357"/>
      <c r="M181" s="1358"/>
      <c r="N181" s="9" t="s">
        <v>627</v>
      </c>
      <c r="O181" s="12" t="str">
        <f>IF(O179="X","X",IF(O180="X","X",""))</f>
        <v>X</v>
      </c>
      <c r="P181" s="398" t="str">
        <f>IF(AND(O159="X",O181="",D982="",D983=""),"ERRORE-Inserire p,q","")</f>
        <v/>
      </c>
    </row>
    <row r="182" spans="1:16" x14ac:dyDescent="0.25">
      <c r="A182" s="1354"/>
      <c r="B182" s="1354"/>
      <c r="C182" s="1354"/>
      <c r="D182" s="1355"/>
      <c r="E182" s="9"/>
      <c r="F182" s="1348"/>
      <c r="G182" s="1348"/>
      <c r="H182" s="283"/>
    </row>
    <row r="183" spans="1:16" x14ac:dyDescent="0.25">
      <c r="A183" s="1357"/>
      <c r="B183" s="1357"/>
      <c r="C183" s="1357"/>
      <c r="D183" s="1358"/>
      <c r="E183" s="9"/>
      <c r="F183" s="1349"/>
      <c r="G183" s="1349"/>
      <c r="H183" s="12" t="str">
        <f>IF(H182="",H181,H182)</f>
        <v/>
      </c>
    </row>
    <row r="184" spans="1:16" x14ac:dyDescent="0.25">
      <c r="F184" s="1347" t="s">
        <v>719</v>
      </c>
      <c r="G184" s="1347" t="s">
        <v>720</v>
      </c>
      <c r="H184" s="381" t="str">
        <f>IF('RAPPORTO ISPEZIONE'!E66="X","X","")</f>
        <v/>
      </c>
    </row>
    <row r="185" spans="1:16" x14ac:dyDescent="0.25">
      <c r="F185" s="1348"/>
      <c r="G185" s="1348"/>
      <c r="H185" s="283"/>
    </row>
    <row r="186" spans="1:16" x14ac:dyDescent="0.25">
      <c r="F186" s="1349"/>
      <c r="G186" s="1349"/>
      <c r="H186" s="12" t="str">
        <f>IF(H185="",H184,H185)</f>
        <v/>
      </c>
    </row>
    <row r="187" spans="1:16" x14ac:dyDescent="0.25">
      <c r="A187" s="1363" t="s">
        <v>8</v>
      </c>
      <c r="B187" s="1350" t="s">
        <v>26</v>
      </c>
      <c r="C187" s="1351"/>
      <c r="D187" s="1352"/>
      <c r="E187" s="1458"/>
      <c r="F187" s="1459"/>
      <c r="G187" s="1379"/>
      <c r="H187" s="381" t="str">
        <f>'RAPPORTO ISPEZIONE'!D33</f>
        <v>C</v>
      </c>
    </row>
    <row r="188" spans="1:16" x14ac:dyDescent="0.25">
      <c r="A188" s="1363"/>
      <c r="B188" s="1356"/>
      <c r="C188" s="1357"/>
      <c r="D188" s="1358"/>
      <c r="E188" s="1460"/>
      <c r="F188" s="1461"/>
      <c r="G188" s="1380"/>
      <c r="H188" s="467" t="s">
        <v>13</v>
      </c>
    </row>
    <row r="189" spans="1:16" x14ac:dyDescent="0.25">
      <c r="A189" s="1363"/>
      <c r="B189" s="1382" t="s">
        <v>718</v>
      </c>
      <c r="C189" s="1383"/>
      <c r="D189" s="1384"/>
      <c r="E189" s="1436"/>
      <c r="F189" s="1436"/>
      <c r="G189" s="9"/>
      <c r="H189" s="471" t="str">
        <f>IF(H188="A","A",IF(H188="B","B",IF(H188="C","C",IF(H188="0,2S","0,2S",IF(H188="2","A",IF(H188="1","B",IF(OR(H188="0,5",H188="0,5S"),"C")))))))</f>
        <v>C</v>
      </c>
    </row>
    <row r="190" spans="1:16" x14ac:dyDescent="0.25">
      <c r="A190" s="1363"/>
      <c r="B190" s="1350" t="s">
        <v>19</v>
      </c>
      <c r="C190" s="1351"/>
      <c r="D190" s="1352"/>
      <c r="E190" s="1350" t="s">
        <v>344</v>
      </c>
      <c r="F190" s="1352"/>
      <c r="G190" s="1347" t="s">
        <v>20</v>
      </c>
      <c r="H190" s="381" t="str">
        <f>'RAPPORTO ISPEZIONE'!D31</f>
        <v>0,05-5(10) A</v>
      </c>
    </row>
    <row r="191" spans="1:16" x14ac:dyDescent="0.25">
      <c r="A191" s="1363"/>
      <c r="B191" s="1353"/>
      <c r="C191" s="1354"/>
      <c r="D191" s="1355"/>
      <c r="E191" s="1353"/>
      <c r="F191" s="1355"/>
      <c r="G191" s="1348"/>
      <c r="H191" s="289">
        <v>5</v>
      </c>
    </row>
    <row r="192" spans="1:16" x14ac:dyDescent="0.25">
      <c r="A192" s="1363"/>
      <c r="B192" s="1356"/>
      <c r="C192" s="1357"/>
      <c r="D192" s="1358"/>
      <c r="E192" s="1356"/>
      <c r="F192" s="1358"/>
      <c r="G192" s="1349"/>
      <c r="H192" s="12">
        <f>IF(H191="",H190,H191)</f>
        <v>5</v>
      </c>
    </row>
    <row r="193" spans="1:15" ht="18" x14ac:dyDescent="0.35">
      <c r="A193" s="1363"/>
      <c r="B193" s="1382" t="s">
        <v>25</v>
      </c>
      <c r="C193" s="1383"/>
      <c r="D193" s="1384"/>
      <c r="E193" s="1436" t="s">
        <v>31</v>
      </c>
      <c r="F193" s="1436"/>
      <c r="G193" s="9" t="s">
        <v>20</v>
      </c>
      <c r="H193" s="290">
        <v>0.05</v>
      </c>
    </row>
    <row r="194" spans="1:15" ht="18" x14ac:dyDescent="0.35">
      <c r="A194" s="1363"/>
      <c r="B194" s="1382" t="s">
        <v>24</v>
      </c>
      <c r="C194" s="1383"/>
      <c r="D194" s="1384"/>
      <c r="E194" s="1436" t="s">
        <v>32</v>
      </c>
      <c r="F194" s="1436"/>
      <c r="G194" s="9" t="s">
        <v>20</v>
      </c>
      <c r="H194" s="12">
        <f>IF(H143="X",H192/10,IF(H146="X",H192/20))</f>
        <v>0.25</v>
      </c>
    </row>
    <row r="195" spans="1:15" ht="18" x14ac:dyDescent="0.35">
      <c r="A195" s="1478" t="s">
        <v>342</v>
      </c>
      <c r="B195" s="1382" t="s">
        <v>537</v>
      </c>
      <c r="C195" s="1383"/>
      <c r="D195" s="1384"/>
      <c r="E195" s="1436" t="s">
        <v>343</v>
      </c>
      <c r="F195" s="1436"/>
      <c r="G195" s="9" t="s">
        <v>20</v>
      </c>
      <c r="H195" s="12">
        <f>H192</f>
        <v>5</v>
      </c>
    </row>
    <row r="196" spans="1:15" x14ac:dyDescent="0.25">
      <c r="A196" s="1478"/>
      <c r="B196" s="1381" t="s">
        <v>538</v>
      </c>
      <c r="C196" s="1381"/>
      <c r="D196" s="1381"/>
      <c r="E196" s="1381"/>
      <c r="F196" s="1381"/>
      <c r="G196" s="9" t="s">
        <v>20</v>
      </c>
      <c r="H196" s="12">
        <f>IF(H143="X",H195,IF(H146="X",IF(O141="X",IF(H152="X",H195*O149/O152,IF(H155="X",H195,"")),H195),"ERRORE"))</f>
        <v>5</v>
      </c>
    </row>
    <row r="197" spans="1:15" x14ac:dyDescent="0.25">
      <c r="A197" s="1478"/>
      <c r="B197" s="1381" t="s">
        <v>539</v>
      </c>
      <c r="C197" s="1381"/>
      <c r="D197" s="1381"/>
      <c r="E197" s="1381"/>
      <c r="F197" s="1381"/>
      <c r="G197" s="9" t="s">
        <v>20</v>
      </c>
      <c r="H197" s="12">
        <f>IF(H143="X",H195,IF(H146="X",IF(O141="X",IF(H158="X",H195*O149/O152,IF(H161="X",H195,"")),H195),"ERRORE"))</f>
        <v>5</v>
      </c>
    </row>
    <row r="200" spans="1:15" ht="18.75" x14ac:dyDescent="0.3">
      <c r="A200" s="683" t="s">
        <v>588</v>
      </c>
      <c r="B200" s="15"/>
      <c r="C200" s="15"/>
      <c r="D200" s="15"/>
      <c r="E200" s="15"/>
      <c r="F200" s="15"/>
      <c r="G200" s="7"/>
      <c r="H200" s="309"/>
      <c r="J200" s="5"/>
    </row>
    <row r="201" spans="1:15" x14ac:dyDescent="0.25">
      <c r="A201" s="388" t="s">
        <v>586</v>
      </c>
      <c r="B201" s="1437" t="s">
        <v>475</v>
      </c>
      <c r="C201" s="1437"/>
      <c r="D201" s="388" t="s">
        <v>587</v>
      </c>
      <c r="E201" s="1439" t="s">
        <v>477</v>
      </c>
      <c r="F201" s="1439"/>
      <c r="G201" s="1439"/>
      <c r="H201" s="1439"/>
      <c r="I201" s="1439"/>
      <c r="J201" s="1439"/>
      <c r="K201" s="1439"/>
      <c r="L201" s="1439"/>
      <c r="M201" s="5"/>
      <c r="N201" s="5"/>
      <c r="O201" s="5"/>
    </row>
    <row r="202" spans="1:15" ht="21.75" customHeight="1" x14ac:dyDescent="0.25">
      <c r="A202" s="396" t="str">
        <f>IF('RAPPORTO ISPEZIONE'!H255="","-",'RAPPORTO ISPEZIONE'!H255)</f>
        <v>1</v>
      </c>
      <c r="B202" s="1329" t="str">
        <f>IF('RAPPORTO ISPEZIONE'!B255="","-",'RAPPORTO ISPEZIONE'!B255)</f>
        <v>ENERGHIA BS1</v>
      </c>
      <c r="C202" s="1330"/>
      <c r="D202" s="396" t="str">
        <f>IF('RAPPORTO ISPEZIONE'!E255="X","Applicato",IF('RAPPORTO ISPEZIONE'!F255="X","Rimosso",IF('RAPPORTO ISPEZIONE'!G255="X","Presente","-")))</f>
        <v>Applicato</v>
      </c>
      <c r="E202" s="1331" t="str">
        <f>IF('RAPPORTO ISPEZIONE'!I255="","-",'RAPPORTO ISPEZIONE'!I255)</f>
        <v>CALOTTA CONTATOREEEEEEEEEEEEEEEEEEEEEEEEEEEEEEEEEEEEEEEEEEEEEEEEWSCDRFRGTGRTHRTHTRHRETH</v>
      </c>
      <c r="F202" s="1332"/>
      <c r="G202" s="1332"/>
      <c r="H202" s="1332"/>
      <c r="I202" s="1332"/>
      <c r="J202" s="1332"/>
      <c r="K202" s="1332"/>
      <c r="L202" s="1333"/>
      <c r="M202" s="5"/>
      <c r="N202" s="5"/>
      <c r="O202" s="5"/>
    </row>
    <row r="203" spans="1:15" ht="23.25" customHeight="1" x14ac:dyDescent="0.25">
      <c r="A203" s="287"/>
      <c r="B203" s="1343"/>
      <c r="C203" s="1344"/>
      <c r="D203" s="287"/>
      <c r="E203" s="1340"/>
      <c r="F203" s="1341"/>
      <c r="G203" s="1341"/>
      <c r="H203" s="1341"/>
      <c r="I203" s="1341"/>
      <c r="J203" s="1341"/>
      <c r="K203" s="1341"/>
      <c r="L203" s="1342"/>
      <c r="M203" s="5"/>
      <c r="N203" s="5"/>
      <c r="O203" s="5"/>
    </row>
    <row r="204" spans="1:15" ht="25.5" customHeight="1" x14ac:dyDescent="0.25">
      <c r="A204" s="397" t="str">
        <f>IF(A203="",A202,A203)</f>
        <v>1</v>
      </c>
      <c r="B204" s="1438" t="str">
        <f>IF(B203="",B202,B203)</f>
        <v>ENERGHIA BS1</v>
      </c>
      <c r="C204" s="1438"/>
      <c r="D204" s="397" t="str">
        <f>IF(D203="",D202,D203)</f>
        <v>Applicato</v>
      </c>
      <c r="E204" s="1375" t="str">
        <f>IF(E203="",E202,E203)</f>
        <v>CALOTTA CONTATOREEEEEEEEEEEEEEEEEEEEEEEEEEEEEEEEEEEEEEEEEEEEEEEEWSCDRFRGTGRTHRTHTRHRETH</v>
      </c>
      <c r="F204" s="1375"/>
      <c r="G204" s="1375"/>
      <c r="H204" s="1375"/>
      <c r="I204" s="1375"/>
      <c r="J204" s="1375"/>
      <c r="K204" s="1375"/>
      <c r="L204" s="1375"/>
      <c r="M204" s="5"/>
      <c r="N204" s="5"/>
      <c r="O204" s="5"/>
    </row>
    <row r="205" spans="1:15" x14ac:dyDescent="0.25">
      <c r="A205" s="401"/>
      <c r="B205" s="402"/>
      <c r="C205" s="402"/>
      <c r="D205" s="401"/>
      <c r="E205" s="403"/>
      <c r="F205" s="403"/>
      <c r="G205" s="403"/>
      <c r="H205" s="403"/>
      <c r="I205" s="403"/>
      <c r="J205" s="403"/>
      <c r="K205" s="403"/>
      <c r="L205" s="403"/>
      <c r="M205" s="5"/>
      <c r="N205" s="5"/>
      <c r="O205" s="5"/>
    </row>
    <row r="206" spans="1:15" ht="21.75" customHeight="1" x14ac:dyDescent="0.25">
      <c r="A206" s="396" t="str">
        <f>IF('RAPPORTO ISPEZIONE'!H256="","-",'RAPPORTO ISPEZIONE'!H256)</f>
        <v>2</v>
      </c>
      <c r="B206" s="1329" t="str">
        <f>IF('RAPPORTO ISPEZIONE'!B256="","-",'RAPPORTO ISPEZIONE'!B256)</f>
        <v>ENERGHIA BS2</v>
      </c>
      <c r="C206" s="1330"/>
      <c r="D206" s="396" t="str">
        <f>IF('RAPPORTO ISPEZIONE'!E256="X","Applicato",IF('RAPPORTO ISPEZIONE'!F256="X","Rimosso",IF('RAPPORTO ISPEZIONE'!G256="X","Presente","-")))</f>
        <v>Rimosso</v>
      </c>
      <c r="E206" s="1331" t="str">
        <f>IF('RAPPORTO ISPEZIONE'!I256="","-",'RAPPORTO ISPEZIONE'!I256)</f>
        <v>VANO BATTERIA CONTATORE</v>
      </c>
      <c r="F206" s="1332"/>
      <c r="G206" s="1332"/>
      <c r="H206" s="1332"/>
      <c r="I206" s="1332"/>
      <c r="J206" s="1332"/>
      <c r="K206" s="1332"/>
      <c r="L206" s="1333"/>
      <c r="M206" s="5"/>
      <c r="N206" s="5"/>
      <c r="O206" s="5"/>
    </row>
    <row r="207" spans="1:15" ht="23.25" customHeight="1" x14ac:dyDescent="0.25">
      <c r="A207" s="287"/>
      <c r="B207" s="1343"/>
      <c r="C207" s="1344"/>
      <c r="D207" s="287"/>
      <c r="E207" s="1340"/>
      <c r="F207" s="1341"/>
      <c r="G207" s="1341"/>
      <c r="H207" s="1341"/>
      <c r="I207" s="1341"/>
      <c r="J207" s="1341"/>
      <c r="K207" s="1341"/>
      <c r="L207" s="1342"/>
      <c r="M207" s="5"/>
      <c r="N207" s="5"/>
      <c r="O207" s="5"/>
    </row>
    <row r="208" spans="1:15" ht="25.5" customHeight="1" x14ac:dyDescent="0.25">
      <c r="A208" s="397" t="str">
        <f>IF(A207="",A206,A207)</f>
        <v>2</v>
      </c>
      <c r="B208" s="1438" t="str">
        <f>IF(B207="",B206,B207)</f>
        <v>ENERGHIA BS2</v>
      </c>
      <c r="C208" s="1438"/>
      <c r="D208" s="397" t="str">
        <f>IF(D207="",D206,D207)</f>
        <v>Rimosso</v>
      </c>
      <c r="E208" s="1375" t="str">
        <f>IF(E207="",E206,E207)</f>
        <v>VANO BATTERIA CONTATORE</v>
      </c>
      <c r="F208" s="1375"/>
      <c r="G208" s="1375"/>
      <c r="H208" s="1375"/>
      <c r="I208" s="1375"/>
      <c r="J208" s="1375"/>
      <c r="K208" s="1375"/>
      <c r="L208" s="1375"/>
      <c r="M208" s="5"/>
      <c r="N208" s="5"/>
      <c r="O208" s="5"/>
    </row>
    <row r="209" spans="1:15" x14ac:dyDescent="0.25">
      <c r="A209" s="401"/>
      <c r="B209" s="402"/>
      <c r="C209" s="402"/>
      <c r="D209" s="401"/>
      <c r="E209" s="403"/>
      <c r="F209" s="403"/>
      <c r="G209" s="403"/>
      <c r="H209" s="403"/>
      <c r="I209" s="403"/>
      <c r="J209" s="403"/>
      <c r="K209" s="403"/>
      <c r="L209" s="403"/>
      <c r="M209" s="5"/>
      <c r="N209" s="5"/>
      <c r="O209" s="5"/>
    </row>
    <row r="210" spans="1:15" ht="21.75" customHeight="1" x14ac:dyDescent="0.25">
      <c r="A210" s="396" t="str">
        <f>IF('RAPPORTO ISPEZIONE'!H257="","-",'RAPPORTO ISPEZIONE'!H257)</f>
        <v>3</v>
      </c>
      <c r="B210" s="1329" t="str">
        <f>IF('RAPPORTO ISPEZIONE'!B257="","-",'RAPPORTO ISPEZIONE'!B257)</f>
        <v>ENERGHIA BS3</v>
      </c>
      <c r="C210" s="1330"/>
      <c r="D210" s="396" t="str">
        <f>IF('RAPPORTO ISPEZIONE'!E257="X","Applicato",IF('RAPPORTO ISPEZIONE'!F257="X","Rimosso",IF('RAPPORTO ISPEZIONE'!G257="X","Presente","-")))</f>
        <v>Presente</v>
      </c>
      <c r="E210" s="1331" t="str">
        <f>IF('RAPPORTO ISPEZIONE'!I257="","-",'RAPPORTO ISPEZIONE'!I257)</f>
        <v>GRUPPO OTTICO CONTATORE</v>
      </c>
      <c r="F210" s="1332"/>
      <c r="G210" s="1332"/>
      <c r="H210" s="1332"/>
      <c r="I210" s="1332"/>
      <c r="J210" s="1332"/>
      <c r="K210" s="1332"/>
      <c r="L210" s="1333"/>
      <c r="M210" s="5"/>
      <c r="N210" s="5"/>
      <c r="O210" s="5"/>
    </row>
    <row r="211" spans="1:15" ht="23.25" customHeight="1" x14ac:dyDescent="0.25">
      <c r="A211" s="287"/>
      <c r="B211" s="1343"/>
      <c r="C211" s="1344"/>
      <c r="D211" s="287"/>
      <c r="E211" s="1340"/>
      <c r="F211" s="1341"/>
      <c r="G211" s="1341"/>
      <c r="H211" s="1341"/>
      <c r="I211" s="1341"/>
      <c r="J211" s="1341"/>
      <c r="K211" s="1341"/>
      <c r="L211" s="1342"/>
      <c r="M211" s="5"/>
      <c r="N211" s="5"/>
      <c r="O211" s="5"/>
    </row>
    <row r="212" spans="1:15" ht="25.5" customHeight="1" x14ac:dyDescent="0.25">
      <c r="A212" s="397" t="str">
        <f>IF(A211="",A210,A211)</f>
        <v>3</v>
      </c>
      <c r="B212" s="1438" t="str">
        <f>IF(B211="",B210,B211)</f>
        <v>ENERGHIA BS3</v>
      </c>
      <c r="C212" s="1438"/>
      <c r="D212" s="397" t="str">
        <f>IF(D211="",D210,D211)</f>
        <v>Presente</v>
      </c>
      <c r="E212" s="1375" t="str">
        <f>IF(E211="",E210,E211)</f>
        <v>GRUPPO OTTICO CONTATORE</v>
      </c>
      <c r="F212" s="1375"/>
      <c r="G212" s="1375"/>
      <c r="H212" s="1375"/>
      <c r="I212" s="1375"/>
      <c r="J212" s="1375"/>
      <c r="K212" s="1375"/>
      <c r="L212" s="1375"/>
      <c r="M212" s="5"/>
      <c r="N212" s="5"/>
      <c r="O212" s="5"/>
    </row>
    <row r="213" spans="1:15" x14ac:dyDescent="0.25">
      <c r="A213" s="401"/>
      <c r="B213" s="402"/>
      <c r="C213" s="402"/>
      <c r="D213" s="401"/>
      <c r="E213" s="403"/>
      <c r="F213" s="403"/>
      <c r="G213" s="403"/>
      <c r="H213" s="403"/>
      <c r="I213" s="403"/>
      <c r="J213" s="403"/>
      <c r="K213" s="403"/>
      <c r="L213" s="403"/>
      <c r="M213" s="5"/>
      <c r="N213" s="5"/>
      <c r="O213" s="5"/>
    </row>
    <row r="214" spans="1:15" ht="21.75" customHeight="1" x14ac:dyDescent="0.25">
      <c r="A214" s="396" t="str">
        <f>IF('RAPPORTO ISPEZIONE'!H258="","-",'RAPPORTO ISPEZIONE'!H258)</f>
        <v>4</v>
      </c>
      <c r="B214" s="1329" t="str">
        <f>IF('RAPPORTO ISPEZIONE'!B258="","-",'RAPPORTO ISPEZIONE'!B258)</f>
        <v>ENERGHIA BS4</v>
      </c>
      <c r="C214" s="1330"/>
      <c r="D214" s="396" t="str">
        <f>IF('RAPPORTO ISPEZIONE'!E258="X","Applicato",IF('RAPPORTO ISPEZIONE'!F258="X","Rimosso",IF('RAPPORTO ISPEZIONE'!G258="X","Presente","-")))</f>
        <v>Applicato</v>
      </c>
      <c r="E214" s="1331" t="str">
        <f>IF('RAPPORTO ISPEZIONE'!I258="","-",'RAPPORTO ISPEZIONE'!I258)</f>
        <v>SPORTELLO CONTATORE ACCESSO TASTO PROGRAMMAZIONE</v>
      </c>
      <c r="F214" s="1332"/>
      <c r="G214" s="1332"/>
      <c r="H214" s="1332"/>
      <c r="I214" s="1332"/>
      <c r="J214" s="1332"/>
      <c r="K214" s="1332"/>
      <c r="L214" s="1333"/>
      <c r="M214" s="5"/>
      <c r="N214" s="5"/>
      <c r="O214" s="5"/>
    </row>
    <row r="215" spans="1:15" ht="23.25" customHeight="1" x14ac:dyDescent="0.25">
      <c r="A215" s="287"/>
      <c r="B215" s="1343"/>
      <c r="C215" s="1344"/>
      <c r="D215" s="287"/>
      <c r="E215" s="1340"/>
      <c r="F215" s="1341"/>
      <c r="G215" s="1341"/>
      <c r="H215" s="1341"/>
      <c r="I215" s="1341"/>
      <c r="J215" s="1341"/>
      <c r="K215" s="1341"/>
      <c r="L215" s="1342"/>
      <c r="M215" s="5"/>
      <c r="N215" s="5"/>
      <c r="O215" s="5"/>
    </row>
    <row r="216" spans="1:15" ht="25.5" customHeight="1" x14ac:dyDescent="0.25">
      <c r="A216" s="397" t="str">
        <f>IF(A215="",A214,A215)</f>
        <v>4</v>
      </c>
      <c r="B216" s="1438" t="str">
        <f>IF(B215="",B214,B215)</f>
        <v>ENERGHIA BS4</v>
      </c>
      <c r="C216" s="1438"/>
      <c r="D216" s="397" t="str">
        <f>IF(D215="",D214,D215)</f>
        <v>Applicato</v>
      </c>
      <c r="E216" s="1375" t="str">
        <f>IF(E215="",E214,E215)</f>
        <v>SPORTELLO CONTATORE ACCESSO TASTO PROGRAMMAZIONE</v>
      </c>
      <c r="F216" s="1375"/>
      <c r="G216" s="1375"/>
      <c r="H216" s="1375"/>
      <c r="I216" s="1375"/>
      <c r="J216" s="1375"/>
      <c r="K216" s="1375"/>
      <c r="L216" s="1375"/>
      <c r="M216" s="5"/>
      <c r="N216" s="5"/>
      <c r="O216" s="5"/>
    </row>
    <row r="217" spans="1:15" x14ac:dyDescent="0.25">
      <c r="A217" s="401"/>
      <c r="B217" s="402"/>
      <c r="C217" s="402"/>
      <c r="D217" s="401"/>
      <c r="E217" s="403"/>
      <c r="F217" s="403"/>
      <c r="G217" s="403"/>
      <c r="H217" s="403"/>
      <c r="I217" s="403"/>
      <c r="J217" s="403"/>
      <c r="K217" s="403"/>
      <c r="L217" s="403"/>
      <c r="M217" s="5"/>
      <c r="N217" s="5"/>
      <c r="O217" s="5"/>
    </row>
    <row r="218" spans="1:15" ht="21.75" customHeight="1" x14ac:dyDescent="0.25">
      <c r="A218" s="396" t="str">
        <f>IF('RAPPORTO ISPEZIONE'!H259="","-",'RAPPORTO ISPEZIONE'!H259)</f>
        <v>5</v>
      </c>
      <c r="B218" s="1329" t="str">
        <f>IF('RAPPORTO ISPEZIONE'!B259="","-",'RAPPORTO ISPEZIONE'!B259)</f>
        <v>ENERGHIA BS5</v>
      </c>
      <c r="C218" s="1330"/>
      <c r="D218" s="396" t="str">
        <f>IF('RAPPORTO ISPEZIONE'!E259="X","Applicato",IF('RAPPORTO ISPEZIONE'!F259="X","Rimosso",IF('RAPPORTO ISPEZIONE'!G259="X","Presente","-")))</f>
        <v>Rimosso</v>
      </c>
      <c r="E218" s="1331" t="str">
        <f>IF('RAPPORTO ISPEZIONE'!I259="","-",'RAPPORTO ISPEZIONE'!I259)</f>
        <v>COPRIMORSETTI CONTATORE</v>
      </c>
      <c r="F218" s="1332"/>
      <c r="G218" s="1332"/>
      <c r="H218" s="1332"/>
      <c r="I218" s="1332"/>
      <c r="J218" s="1332"/>
      <c r="K218" s="1332"/>
      <c r="L218" s="1333"/>
      <c r="M218" s="5"/>
      <c r="N218" s="5"/>
      <c r="O218" s="5"/>
    </row>
    <row r="219" spans="1:15" ht="23.25" customHeight="1" x14ac:dyDescent="0.25">
      <c r="A219" s="287"/>
      <c r="B219" s="1343"/>
      <c r="C219" s="1344"/>
      <c r="D219" s="287"/>
      <c r="E219" s="1340"/>
      <c r="F219" s="1341"/>
      <c r="G219" s="1341"/>
      <c r="H219" s="1341"/>
      <c r="I219" s="1341"/>
      <c r="J219" s="1341"/>
      <c r="K219" s="1341"/>
      <c r="L219" s="1342"/>
      <c r="M219" s="5"/>
      <c r="N219" s="5"/>
      <c r="O219" s="5"/>
    </row>
    <row r="220" spans="1:15" ht="25.5" customHeight="1" x14ac:dyDescent="0.25">
      <c r="A220" s="397" t="str">
        <f>IF(A219="",A218,A219)</f>
        <v>5</v>
      </c>
      <c r="B220" s="1438" t="str">
        <f>IF(B219="",B218,B219)</f>
        <v>ENERGHIA BS5</v>
      </c>
      <c r="C220" s="1438"/>
      <c r="D220" s="397" t="str">
        <f>IF(D219="",D218,D219)</f>
        <v>Rimosso</v>
      </c>
      <c r="E220" s="1375" t="str">
        <f>IF(E219="",E218,E219)</f>
        <v>COPRIMORSETTI CONTATORE</v>
      </c>
      <c r="F220" s="1375"/>
      <c r="G220" s="1375"/>
      <c r="H220" s="1375"/>
      <c r="I220" s="1375"/>
      <c r="J220" s="1375"/>
      <c r="K220" s="1375"/>
      <c r="L220" s="1375"/>
      <c r="M220" s="5"/>
      <c r="N220" s="5"/>
      <c r="O220" s="5"/>
    </row>
    <row r="221" spans="1:15" x14ac:dyDescent="0.25">
      <c r="A221" s="401"/>
      <c r="B221" s="402"/>
      <c r="C221" s="402"/>
      <c r="D221" s="401"/>
      <c r="E221" s="403"/>
      <c r="F221" s="403"/>
      <c r="G221" s="403"/>
      <c r="H221" s="403"/>
      <c r="I221" s="403"/>
      <c r="J221" s="403"/>
      <c r="K221" s="403"/>
      <c r="L221" s="403"/>
      <c r="M221" s="5"/>
      <c r="N221" s="5"/>
      <c r="O221" s="5"/>
    </row>
    <row r="222" spans="1:15" ht="21.75" customHeight="1" x14ac:dyDescent="0.25">
      <c r="A222" s="396" t="str">
        <f>IF('RAPPORTO ISPEZIONE'!H260="","-",'RAPPORTO ISPEZIONE'!H260)</f>
        <v>6</v>
      </c>
      <c r="B222" s="1329" t="str">
        <f>IF('RAPPORTO ISPEZIONE'!B260="","-",'RAPPORTO ISPEZIONE'!B260)</f>
        <v>ENERGHIA BS6</v>
      </c>
      <c r="C222" s="1330"/>
      <c r="D222" s="396" t="str">
        <f>IF('RAPPORTO ISPEZIONE'!E260="X","Applicato",IF('RAPPORTO ISPEZIONE'!F260="X","Rimosso",IF('RAPPORTO ISPEZIONE'!G260="X","Presente","-")))</f>
        <v>Presente</v>
      </c>
      <c r="E222" s="1331" t="str">
        <f>IF('RAPPORTO ISPEZIONE'!I260="","-",'RAPPORTO ISPEZIONE'!I260)</f>
        <v>MORSETTIERA DI PROVA</v>
      </c>
      <c r="F222" s="1332"/>
      <c r="G222" s="1332"/>
      <c r="H222" s="1332"/>
      <c r="I222" s="1332"/>
      <c r="J222" s="1332"/>
      <c r="K222" s="1332"/>
      <c r="L222" s="1333"/>
      <c r="M222" s="5"/>
      <c r="N222" s="5"/>
      <c r="O222" s="5"/>
    </row>
    <row r="223" spans="1:15" ht="23.25" customHeight="1" x14ac:dyDescent="0.25">
      <c r="A223" s="287"/>
      <c r="B223" s="1343"/>
      <c r="C223" s="1344"/>
      <c r="D223" s="287"/>
      <c r="E223" s="1340"/>
      <c r="F223" s="1341"/>
      <c r="G223" s="1341"/>
      <c r="H223" s="1341"/>
      <c r="I223" s="1341"/>
      <c r="J223" s="1341"/>
      <c r="K223" s="1341"/>
      <c r="L223" s="1342"/>
      <c r="M223" s="5"/>
      <c r="N223" s="5"/>
      <c r="O223" s="5"/>
    </row>
    <row r="224" spans="1:15" ht="25.5" customHeight="1" x14ac:dyDescent="0.25">
      <c r="A224" s="397" t="str">
        <f>IF(A223="",A222,A223)</f>
        <v>6</v>
      </c>
      <c r="B224" s="1438" t="str">
        <f>IF(B223="",B222,B223)</f>
        <v>ENERGHIA BS6</v>
      </c>
      <c r="C224" s="1438"/>
      <c r="D224" s="397" t="str">
        <f>IF(D223="",D222,D223)</f>
        <v>Presente</v>
      </c>
      <c r="E224" s="1375" t="str">
        <f>IF(E223="",E222,E223)</f>
        <v>MORSETTIERA DI PROVA</v>
      </c>
      <c r="F224" s="1375"/>
      <c r="G224" s="1375"/>
      <c r="H224" s="1375"/>
      <c r="I224" s="1375"/>
      <c r="J224" s="1375"/>
      <c r="K224" s="1375"/>
      <c r="L224" s="1375"/>
      <c r="M224" s="5"/>
      <c r="N224" s="5"/>
      <c r="O224" s="5"/>
    </row>
    <row r="225" spans="1:15" x14ac:dyDescent="0.25">
      <c r="A225" s="401"/>
      <c r="B225" s="402"/>
      <c r="C225" s="402"/>
      <c r="D225" s="401"/>
      <c r="E225" s="403"/>
      <c r="F225" s="403"/>
      <c r="G225" s="403"/>
      <c r="H225" s="403"/>
      <c r="I225" s="403"/>
      <c r="J225" s="403"/>
      <c r="K225" s="403"/>
      <c r="L225" s="403"/>
      <c r="M225" s="5"/>
      <c r="N225" s="5"/>
      <c r="O225" s="5"/>
    </row>
    <row r="226" spans="1:15" ht="21.75" customHeight="1" x14ac:dyDescent="0.25">
      <c r="A226" s="396" t="str">
        <f>IF('RAPPORTO ISPEZIONE'!H261="","-",'RAPPORTO ISPEZIONE'!H261)</f>
        <v>7</v>
      </c>
      <c r="B226" s="1329" t="str">
        <f>IF('RAPPORTO ISPEZIONE'!B261="","-",'RAPPORTO ISPEZIONE'!B261)</f>
        <v>ENERGHIA BS7</v>
      </c>
      <c r="C226" s="1330"/>
      <c r="D226" s="396" t="str">
        <f>IF('RAPPORTO ISPEZIONE'!E261="X","Applicato",IF('RAPPORTO ISPEZIONE'!F261="X","Rimosso",IF('RAPPORTO ISPEZIONE'!G261="X","Presente","-")))</f>
        <v>Applicato</v>
      </c>
      <c r="E226" s="1331" t="str">
        <f>IF('RAPPORTO ISPEZIONE'!I261="","-",'RAPPORTO ISPEZIONE'!I261)</f>
        <v>COPRIMORSETTI TA-FASE R</v>
      </c>
      <c r="F226" s="1332"/>
      <c r="G226" s="1332"/>
      <c r="H226" s="1332"/>
      <c r="I226" s="1332"/>
      <c r="J226" s="1332"/>
      <c r="K226" s="1332"/>
      <c r="L226" s="1333"/>
      <c r="M226" s="5"/>
      <c r="N226" s="5"/>
      <c r="O226" s="5"/>
    </row>
    <row r="227" spans="1:15" ht="23.25" customHeight="1" x14ac:dyDescent="0.25">
      <c r="A227" s="287"/>
      <c r="B227" s="1343"/>
      <c r="C227" s="1344"/>
      <c r="D227" s="287"/>
      <c r="E227" s="1340"/>
      <c r="F227" s="1341"/>
      <c r="G227" s="1341"/>
      <c r="H227" s="1341"/>
      <c r="I227" s="1341"/>
      <c r="J227" s="1341"/>
      <c r="K227" s="1341"/>
      <c r="L227" s="1342"/>
      <c r="M227" s="5"/>
      <c r="N227" s="5"/>
      <c r="O227" s="5"/>
    </row>
    <row r="228" spans="1:15" ht="25.5" customHeight="1" x14ac:dyDescent="0.25">
      <c r="A228" s="397" t="str">
        <f>IF(A227="",A226,A227)</f>
        <v>7</v>
      </c>
      <c r="B228" s="1438" t="str">
        <f>IF(B227="",B226,B227)</f>
        <v>ENERGHIA BS7</v>
      </c>
      <c r="C228" s="1438"/>
      <c r="D228" s="397" t="str">
        <f>IF(D227="",D226,D227)</f>
        <v>Applicato</v>
      </c>
      <c r="E228" s="1375" t="str">
        <f>IF(E227="",E226,E227)</f>
        <v>COPRIMORSETTI TA-FASE R</v>
      </c>
      <c r="F228" s="1375"/>
      <c r="G228" s="1375"/>
      <c r="H228" s="1375"/>
      <c r="I228" s="1375"/>
      <c r="J228" s="1375"/>
      <c r="K228" s="1375"/>
      <c r="L228" s="1375"/>
      <c r="M228" s="5"/>
      <c r="N228" s="5"/>
      <c r="O228" s="5"/>
    </row>
    <row r="229" spans="1:15" x14ac:dyDescent="0.25">
      <c r="A229" s="401"/>
      <c r="B229" s="402"/>
      <c r="C229" s="402"/>
      <c r="D229" s="401"/>
      <c r="E229" s="403"/>
      <c r="F229" s="403"/>
      <c r="G229" s="403"/>
      <c r="H229" s="403"/>
      <c r="I229" s="403"/>
      <c r="J229" s="403"/>
      <c r="K229" s="403"/>
      <c r="L229" s="403"/>
      <c r="M229" s="5"/>
      <c r="N229" s="5"/>
      <c r="O229" s="5"/>
    </row>
    <row r="230" spans="1:15" ht="21.75" customHeight="1" x14ac:dyDescent="0.25">
      <c r="A230" s="396" t="str">
        <f>IF('RAPPORTO ISPEZIONE'!H262="","-",'RAPPORTO ISPEZIONE'!H262)</f>
        <v>8</v>
      </c>
      <c r="B230" s="1329" t="str">
        <f>IF('RAPPORTO ISPEZIONE'!B262="","-",'RAPPORTO ISPEZIONE'!B262)</f>
        <v>ENERGHIA BS8</v>
      </c>
      <c r="C230" s="1330"/>
      <c r="D230" s="396" t="str">
        <f>IF('RAPPORTO ISPEZIONE'!E262="X","Applicato",IF('RAPPORTO ISPEZIONE'!F262="X","Rimosso",IF('RAPPORTO ISPEZIONE'!G262="X","Presente","-")))</f>
        <v>Rimosso</v>
      </c>
      <c r="E230" s="1331" t="str">
        <f>IF('RAPPORTO ISPEZIONE'!I262="","-",'RAPPORTO ISPEZIONE'!I262)</f>
        <v>COPRIMORSETTI TA-FASE S</v>
      </c>
      <c r="F230" s="1332"/>
      <c r="G230" s="1332"/>
      <c r="H230" s="1332"/>
      <c r="I230" s="1332"/>
      <c r="J230" s="1332"/>
      <c r="K230" s="1332"/>
      <c r="L230" s="1333"/>
      <c r="M230" s="5"/>
      <c r="N230" s="5"/>
      <c r="O230" s="5"/>
    </row>
    <row r="231" spans="1:15" ht="23.25" customHeight="1" x14ac:dyDescent="0.25">
      <c r="A231" s="287"/>
      <c r="B231" s="1343"/>
      <c r="C231" s="1344"/>
      <c r="D231" s="287"/>
      <c r="E231" s="1340"/>
      <c r="F231" s="1341"/>
      <c r="G231" s="1341"/>
      <c r="H231" s="1341"/>
      <c r="I231" s="1341"/>
      <c r="J231" s="1341"/>
      <c r="K231" s="1341"/>
      <c r="L231" s="1342"/>
      <c r="M231" s="5"/>
      <c r="N231" s="5"/>
      <c r="O231" s="5"/>
    </row>
    <row r="232" spans="1:15" ht="25.5" customHeight="1" x14ac:dyDescent="0.25">
      <c r="A232" s="397" t="str">
        <f>IF(A231="",A230,A231)</f>
        <v>8</v>
      </c>
      <c r="B232" s="1438" t="str">
        <f>IF(B231="",B230,B231)</f>
        <v>ENERGHIA BS8</v>
      </c>
      <c r="C232" s="1438"/>
      <c r="D232" s="397" t="str">
        <f>IF(D231="",D230,D231)</f>
        <v>Rimosso</v>
      </c>
      <c r="E232" s="1375" t="str">
        <f>IF(E231="",E230,E231)</f>
        <v>COPRIMORSETTI TA-FASE S</v>
      </c>
      <c r="F232" s="1375"/>
      <c r="G232" s="1375"/>
      <c r="H232" s="1375"/>
      <c r="I232" s="1375"/>
      <c r="J232" s="1375"/>
      <c r="K232" s="1375"/>
      <c r="L232" s="1375"/>
      <c r="M232" s="5"/>
      <c r="N232" s="5"/>
      <c r="O232" s="5"/>
    </row>
    <row r="233" spans="1:15" x14ac:dyDescent="0.25">
      <c r="A233" s="401"/>
      <c r="B233" s="402"/>
      <c r="C233" s="402"/>
      <c r="D233" s="401"/>
      <c r="E233" s="403"/>
      <c r="F233" s="403"/>
      <c r="G233" s="403"/>
      <c r="H233" s="403"/>
      <c r="I233" s="403"/>
      <c r="J233" s="403"/>
      <c r="K233" s="403"/>
      <c r="L233" s="403"/>
      <c r="M233" s="5"/>
      <c r="N233" s="5"/>
      <c r="O233" s="5"/>
    </row>
    <row r="234" spans="1:15" ht="21.75" customHeight="1" x14ac:dyDescent="0.25">
      <c r="A234" s="396" t="str">
        <f>IF('RAPPORTO ISPEZIONE'!H263="","-",'RAPPORTO ISPEZIONE'!H263)</f>
        <v>9</v>
      </c>
      <c r="B234" s="1329" t="str">
        <f>IF('RAPPORTO ISPEZIONE'!B263="","-",'RAPPORTO ISPEZIONE'!B263)</f>
        <v>ENERGHIA BS9</v>
      </c>
      <c r="C234" s="1330"/>
      <c r="D234" s="396" t="str">
        <f>IF('RAPPORTO ISPEZIONE'!E263="X","Applicato",IF('RAPPORTO ISPEZIONE'!F263="X","Rimosso",IF('RAPPORTO ISPEZIONE'!G263="X","Presente","-")))</f>
        <v>Presente</v>
      </c>
      <c r="E234" s="1331" t="str">
        <f>IF('RAPPORTO ISPEZIONE'!I263="","-",'RAPPORTO ISPEZIONE'!I263)</f>
        <v>COPRIMORSETTI TA-FASE T</v>
      </c>
      <c r="F234" s="1332"/>
      <c r="G234" s="1332"/>
      <c r="H234" s="1332"/>
      <c r="I234" s="1332"/>
      <c r="J234" s="1332"/>
      <c r="K234" s="1332"/>
      <c r="L234" s="1333"/>
      <c r="M234" s="5"/>
      <c r="N234" s="5"/>
      <c r="O234" s="5"/>
    </row>
    <row r="235" spans="1:15" ht="23.25" customHeight="1" x14ac:dyDescent="0.25">
      <c r="A235" s="287"/>
      <c r="B235" s="1343"/>
      <c r="C235" s="1344"/>
      <c r="D235" s="287"/>
      <c r="E235" s="1340"/>
      <c r="F235" s="1341"/>
      <c r="G235" s="1341"/>
      <c r="H235" s="1341"/>
      <c r="I235" s="1341"/>
      <c r="J235" s="1341"/>
      <c r="K235" s="1341"/>
      <c r="L235" s="1342"/>
      <c r="M235" s="5"/>
      <c r="N235" s="5"/>
      <c r="O235" s="5"/>
    </row>
    <row r="236" spans="1:15" ht="25.5" customHeight="1" x14ac:dyDescent="0.25">
      <c r="A236" s="397" t="str">
        <f>IF(A235="",A234,A235)</f>
        <v>9</v>
      </c>
      <c r="B236" s="1438" t="str">
        <f>IF(B235="",B234,B235)</f>
        <v>ENERGHIA BS9</v>
      </c>
      <c r="C236" s="1438"/>
      <c r="D236" s="397" t="str">
        <f>IF(D235="",D234,D235)</f>
        <v>Presente</v>
      </c>
      <c r="E236" s="1375" t="str">
        <f>IF(E235="",E234,E235)</f>
        <v>COPRIMORSETTI TA-FASE T</v>
      </c>
      <c r="F236" s="1375"/>
      <c r="G236" s="1375"/>
      <c r="H236" s="1375"/>
      <c r="I236" s="1375"/>
      <c r="J236" s="1375"/>
      <c r="K236" s="1375"/>
      <c r="L236" s="1375"/>
      <c r="M236" s="5"/>
      <c r="N236" s="5"/>
      <c r="O236" s="5"/>
    </row>
    <row r="237" spans="1:15" x14ac:dyDescent="0.25">
      <c r="A237" s="401"/>
      <c r="B237" s="402"/>
      <c r="C237" s="402"/>
      <c r="D237" s="401"/>
      <c r="E237" s="403"/>
      <c r="F237" s="403"/>
      <c r="G237" s="403"/>
      <c r="H237" s="403"/>
      <c r="I237" s="403"/>
      <c r="J237" s="403"/>
      <c r="K237" s="403"/>
      <c r="L237" s="403"/>
      <c r="M237" s="5"/>
      <c r="N237" s="5"/>
      <c r="O237" s="5"/>
    </row>
    <row r="238" spans="1:15" ht="21.75" customHeight="1" x14ac:dyDescent="0.25">
      <c r="A238" s="396" t="str">
        <f>IF('RAPPORTO ISPEZIONE'!H264="","-",'RAPPORTO ISPEZIONE'!H264)</f>
        <v>10</v>
      </c>
      <c r="B238" s="1329" t="str">
        <f>IF('RAPPORTO ISPEZIONE'!B264="","-",'RAPPORTO ISPEZIONE'!B264)</f>
        <v>ENERGHIA BS10</v>
      </c>
      <c r="C238" s="1330"/>
      <c r="D238" s="396" t="str">
        <f>IF('RAPPORTO ISPEZIONE'!E264="X","Applicato",IF('RAPPORTO ISPEZIONE'!F264="X","Rimosso",IF('RAPPORTO ISPEZIONE'!G264="X","Presente","-")))</f>
        <v>Applicato</v>
      </c>
      <c r="E238" s="1331" t="str">
        <f>IF('RAPPORTO ISPEZIONE'!I264="","-",'RAPPORTO ISPEZIONE'!I264)</f>
        <v>PLEXIGLASS ACCESSO A TA, TV E PRESE VOLTMETRICHE</v>
      </c>
      <c r="F238" s="1332"/>
      <c r="G238" s="1332"/>
      <c r="H238" s="1332"/>
      <c r="I238" s="1332"/>
      <c r="J238" s="1332"/>
      <c r="K238" s="1332"/>
      <c r="L238" s="1333"/>
      <c r="M238" s="5"/>
      <c r="N238" s="5"/>
      <c r="O238" s="5"/>
    </row>
    <row r="239" spans="1:15" ht="23.25" customHeight="1" x14ac:dyDescent="0.25">
      <c r="A239" s="287"/>
      <c r="B239" s="1343"/>
      <c r="C239" s="1344"/>
      <c r="D239" s="287"/>
      <c r="E239" s="1340"/>
      <c r="F239" s="1341"/>
      <c r="G239" s="1341"/>
      <c r="H239" s="1341"/>
      <c r="I239" s="1341"/>
      <c r="J239" s="1341"/>
      <c r="K239" s="1341"/>
      <c r="L239" s="1342"/>
      <c r="M239" s="5"/>
      <c r="N239" s="5"/>
      <c r="O239" s="5"/>
    </row>
    <row r="240" spans="1:15" ht="25.5" customHeight="1" x14ac:dyDescent="0.25">
      <c r="A240" s="397" t="str">
        <f>IF(A239="",A238,A239)</f>
        <v>10</v>
      </c>
      <c r="B240" s="1438" t="str">
        <f>IF(B239="",B238,B239)</f>
        <v>ENERGHIA BS10</v>
      </c>
      <c r="C240" s="1438"/>
      <c r="D240" s="397" t="str">
        <f>IF(D239="",D238,D239)</f>
        <v>Applicato</v>
      </c>
      <c r="E240" s="1375" t="str">
        <f>IF(E239="",E238,E239)</f>
        <v>PLEXIGLASS ACCESSO A TA, TV E PRESE VOLTMETRICHE</v>
      </c>
      <c r="F240" s="1375"/>
      <c r="G240" s="1375"/>
      <c r="H240" s="1375"/>
      <c r="I240" s="1375"/>
      <c r="J240" s="1375"/>
      <c r="K240" s="1375"/>
      <c r="L240" s="1375"/>
      <c r="M240" s="5"/>
      <c r="N240" s="5"/>
      <c r="O240" s="5"/>
    </row>
    <row r="241" spans="1:22" x14ac:dyDescent="0.25">
      <c r="A241" s="401"/>
      <c r="B241" s="402"/>
      <c r="C241" s="402"/>
      <c r="D241" s="401"/>
      <c r="E241" s="403"/>
      <c r="F241" s="403"/>
      <c r="G241" s="403"/>
      <c r="H241" s="403"/>
      <c r="I241" s="403"/>
      <c r="J241" s="403"/>
      <c r="K241" s="403"/>
      <c r="L241" s="403"/>
      <c r="M241" s="5"/>
      <c r="N241" s="5"/>
      <c r="O241" s="5"/>
    </row>
    <row r="242" spans="1:22" x14ac:dyDescent="0.25">
      <c r="A242" s="401"/>
      <c r="B242" s="402"/>
      <c r="C242" s="402"/>
      <c r="D242" s="401"/>
      <c r="E242" s="403"/>
      <c r="F242" s="403"/>
      <c r="G242" s="403"/>
      <c r="H242" s="403"/>
      <c r="I242" s="403"/>
      <c r="J242" s="403"/>
      <c r="K242" s="403"/>
      <c r="L242" s="403"/>
      <c r="M242" s="5"/>
      <c r="N242" s="5"/>
      <c r="O242" s="5"/>
      <c r="P242" s="5"/>
      <c r="R242" s="5"/>
      <c r="S242" s="5"/>
      <c r="T242" s="5"/>
      <c r="U242" s="5"/>
      <c r="V242" s="5"/>
    </row>
    <row r="243" spans="1:22" ht="18.75" x14ac:dyDescent="0.3">
      <c r="A243" s="386" t="s">
        <v>1013</v>
      </c>
      <c r="B243" s="402"/>
      <c r="C243" s="402"/>
      <c r="D243" s="401"/>
      <c r="E243" s="403"/>
      <c r="F243" s="403"/>
      <c r="G243" s="403"/>
      <c r="H243" s="403"/>
      <c r="I243" s="403"/>
      <c r="J243" s="403"/>
      <c r="K243" s="403"/>
      <c r="L243" s="403"/>
      <c r="M243" s="5"/>
      <c r="N243" s="5"/>
      <c r="O243" s="5"/>
      <c r="P243" s="5"/>
      <c r="R243" s="5"/>
      <c r="S243" s="5"/>
      <c r="T243" s="5"/>
      <c r="U243" s="5"/>
      <c r="V243" s="5"/>
    </row>
    <row r="244" spans="1:22" x14ac:dyDescent="0.25">
      <c r="A244" s="396" t="str">
        <f>IF('RAPPORTO ISPEZIONE'!H265="","-",'RAPPORTO ISPEZIONE'!H265)</f>
        <v>-</v>
      </c>
      <c r="B244" s="1329" t="str">
        <f>IF('RAPPORTO ISPEZIONE'!B265="","-",'RAPPORTO ISPEZIONE'!B265)</f>
        <v>-</v>
      </c>
      <c r="C244" s="1330"/>
      <c r="D244" s="396" t="str">
        <f>IF('RAPPORTO ISPEZIONE'!E265="X","Applicato",IF('RAPPORTO ISPEZIONE'!F265="X","Rimosso",IF('RAPPORTO ISPEZIONE'!G265="X","Presente","-")))</f>
        <v>-</v>
      </c>
      <c r="E244" s="1331" t="str">
        <f>IF('RAPPORTO ISPEZIONE'!I265="","-",'RAPPORTO ISPEZIONE'!I265)</f>
        <v>-</v>
      </c>
      <c r="F244" s="1332"/>
      <c r="G244" s="1332"/>
      <c r="H244" s="1332"/>
      <c r="I244" s="1332"/>
      <c r="J244" s="1332"/>
      <c r="K244" s="1332"/>
      <c r="L244" s="1333"/>
      <c r="M244" s="5"/>
      <c r="N244" s="5"/>
      <c r="O244" s="5"/>
      <c r="P244" s="5"/>
      <c r="R244" s="5"/>
      <c r="S244" s="5"/>
      <c r="T244" s="5"/>
      <c r="U244" s="5"/>
      <c r="V244" s="5"/>
    </row>
    <row r="245" spans="1:22" x14ac:dyDescent="0.25">
      <c r="A245" s="396" t="str">
        <f>IF('RAPPORTO ISPEZIONE'!H266="","-",'RAPPORTO ISPEZIONE'!H266)</f>
        <v>-</v>
      </c>
      <c r="B245" s="1329" t="str">
        <f>IF('RAPPORTO ISPEZIONE'!B266="","-",'RAPPORTO ISPEZIONE'!B266)</f>
        <v>-</v>
      </c>
      <c r="C245" s="1330"/>
      <c r="D245" s="396" t="str">
        <f>IF('RAPPORTO ISPEZIONE'!E266="X","Applicato",IF('RAPPORTO ISPEZIONE'!F266="X","Rimosso",IF('RAPPORTO ISPEZIONE'!G266="X","Presente","-")))</f>
        <v>-</v>
      </c>
      <c r="E245" s="1331" t="str">
        <f>IF('RAPPORTO ISPEZIONE'!I266="","-",'RAPPORTO ISPEZIONE'!I266)</f>
        <v>-</v>
      </c>
      <c r="F245" s="1332"/>
      <c r="G245" s="1332"/>
      <c r="H245" s="1332"/>
      <c r="I245" s="1332"/>
      <c r="J245" s="1332"/>
      <c r="K245" s="1332"/>
      <c r="L245" s="1333"/>
      <c r="M245" s="5"/>
      <c r="N245" s="5"/>
      <c r="O245" s="5"/>
      <c r="P245" s="5"/>
      <c r="R245" s="5"/>
      <c r="S245" s="5"/>
      <c r="T245" s="5"/>
      <c r="U245" s="5"/>
      <c r="V245" s="5"/>
    </row>
    <row r="246" spans="1:22" x14ac:dyDescent="0.25">
      <c r="A246" s="396" t="str">
        <f>IF('RAPPORTO ISPEZIONE'!H267="","-",'RAPPORTO ISPEZIONE'!H267)</f>
        <v>-</v>
      </c>
      <c r="B246" s="1329" t="str">
        <f>IF('RAPPORTO ISPEZIONE'!B267="","-",'RAPPORTO ISPEZIONE'!B267)</f>
        <v>-</v>
      </c>
      <c r="C246" s="1330"/>
      <c r="D246" s="396" t="str">
        <f>IF('RAPPORTO ISPEZIONE'!E267="X","Applicato",IF('RAPPORTO ISPEZIONE'!F267="X","Rimosso",IF('RAPPORTO ISPEZIONE'!G267="X","Presente","-")))</f>
        <v>-</v>
      </c>
      <c r="E246" s="1331" t="str">
        <f>IF('RAPPORTO ISPEZIONE'!I267="","-",'RAPPORTO ISPEZIONE'!I267)</f>
        <v>-</v>
      </c>
      <c r="F246" s="1332"/>
      <c r="G246" s="1332"/>
      <c r="H246" s="1332"/>
      <c r="I246" s="1332"/>
      <c r="J246" s="1332"/>
      <c r="K246" s="1332"/>
      <c r="L246" s="1333"/>
      <c r="M246" s="5"/>
      <c r="N246" s="5"/>
      <c r="O246" s="5"/>
      <c r="P246" s="5"/>
      <c r="R246" s="5"/>
      <c r="S246" s="5"/>
      <c r="T246" s="5"/>
      <c r="U246" s="5"/>
      <c r="V246" s="5"/>
    </row>
    <row r="247" spans="1:22" x14ac:dyDescent="0.25">
      <c r="A247" s="396" t="str">
        <f>IF('RAPPORTO ISPEZIONE'!H268="","-",'RAPPORTO ISPEZIONE'!H268)</f>
        <v>-</v>
      </c>
      <c r="B247" s="1329" t="str">
        <f>IF('RAPPORTO ISPEZIONE'!B268="","-",'RAPPORTO ISPEZIONE'!B268)</f>
        <v>-</v>
      </c>
      <c r="C247" s="1330"/>
      <c r="D247" s="396" t="str">
        <f>IF('RAPPORTO ISPEZIONE'!E268="X","Applicato",IF('RAPPORTO ISPEZIONE'!F268="X","Rimosso",IF('RAPPORTO ISPEZIONE'!G268="X","Presente","-")))</f>
        <v>-</v>
      </c>
      <c r="E247" s="1331" t="str">
        <f>IF('RAPPORTO ISPEZIONE'!I268="","-",'RAPPORTO ISPEZIONE'!I268)</f>
        <v>-</v>
      </c>
      <c r="F247" s="1332"/>
      <c r="G247" s="1332"/>
      <c r="H247" s="1332"/>
      <c r="I247" s="1332"/>
      <c r="J247" s="1332"/>
      <c r="K247" s="1332"/>
      <c r="L247" s="1333"/>
      <c r="M247" s="5"/>
      <c r="N247" s="5"/>
      <c r="O247" s="5"/>
      <c r="P247" s="5"/>
      <c r="R247" s="5"/>
      <c r="S247" s="5"/>
      <c r="T247" s="5"/>
      <c r="U247" s="5"/>
      <c r="V247" s="5"/>
    </row>
    <row r="248" spans="1:22" x14ac:dyDescent="0.25">
      <c r="A248" s="396" t="str">
        <f>IF('RAPPORTO ISPEZIONE'!H269="","-",'RAPPORTO ISPEZIONE'!H269)</f>
        <v>-</v>
      </c>
      <c r="B248" s="1329" t="str">
        <f>IF('RAPPORTO ISPEZIONE'!B269="","-",'RAPPORTO ISPEZIONE'!B269)</f>
        <v>-</v>
      </c>
      <c r="C248" s="1330"/>
      <c r="D248" s="396" t="str">
        <f>IF('RAPPORTO ISPEZIONE'!E269="X","Applicato",IF('RAPPORTO ISPEZIONE'!F269="X","Rimosso",IF('RAPPORTO ISPEZIONE'!G269="X","Presente","-")))</f>
        <v>-</v>
      </c>
      <c r="E248" s="1331" t="str">
        <f>IF('RAPPORTO ISPEZIONE'!I269="","-",'RAPPORTO ISPEZIONE'!I269)</f>
        <v>-</v>
      </c>
      <c r="F248" s="1332"/>
      <c r="G248" s="1332"/>
      <c r="H248" s="1332"/>
      <c r="I248" s="1332"/>
      <c r="J248" s="1332"/>
      <c r="K248" s="1332"/>
      <c r="L248" s="1333"/>
      <c r="M248" s="5"/>
      <c r="N248" s="5"/>
      <c r="O248" s="5"/>
      <c r="P248" s="5"/>
      <c r="R248" s="5"/>
      <c r="S248" s="5"/>
      <c r="T248" s="5"/>
      <c r="U248" s="5"/>
      <c r="V248" s="5"/>
    </row>
    <row r="249" spans="1:22" x14ac:dyDescent="0.25">
      <c r="A249" s="396" t="str">
        <f>IF('RAPPORTO ISPEZIONE'!H270="","-",'RAPPORTO ISPEZIONE'!H270)</f>
        <v>-</v>
      </c>
      <c r="B249" s="1329" t="str">
        <f>IF('RAPPORTO ISPEZIONE'!B270="","-",'RAPPORTO ISPEZIONE'!B270)</f>
        <v>-</v>
      </c>
      <c r="C249" s="1330"/>
      <c r="D249" s="396" t="str">
        <f>IF('RAPPORTO ISPEZIONE'!E270="X","Applicato",IF('RAPPORTO ISPEZIONE'!F270="X","Rimosso",IF('RAPPORTO ISPEZIONE'!G270="X","Presente","-")))</f>
        <v>-</v>
      </c>
      <c r="E249" s="1331" t="str">
        <f>IF('RAPPORTO ISPEZIONE'!I270="","-",'RAPPORTO ISPEZIONE'!I270)</f>
        <v>-</v>
      </c>
      <c r="F249" s="1332"/>
      <c r="G249" s="1332"/>
      <c r="H249" s="1332"/>
      <c r="I249" s="1332"/>
      <c r="J249" s="1332"/>
      <c r="K249" s="1332"/>
      <c r="L249" s="1333"/>
      <c r="M249" s="5"/>
      <c r="N249" s="5"/>
      <c r="O249" s="5"/>
      <c r="P249" s="5"/>
      <c r="R249" s="5"/>
      <c r="S249" s="5"/>
      <c r="T249" s="5"/>
      <c r="U249" s="5"/>
      <c r="V249" s="5"/>
    </row>
    <row r="250" spans="1:22" x14ac:dyDescent="0.25">
      <c r="A250" s="396" t="str">
        <f>IF('RAPPORTO ISPEZIONE'!H271="","-",'RAPPORTO ISPEZIONE'!H271)</f>
        <v>-</v>
      </c>
      <c r="B250" s="1329" t="str">
        <f>IF('RAPPORTO ISPEZIONE'!B271="","-",'RAPPORTO ISPEZIONE'!B271)</f>
        <v>-</v>
      </c>
      <c r="C250" s="1330"/>
      <c r="D250" s="396" t="str">
        <f>IF('RAPPORTO ISPEZIONE'!E271="X","Applicato",IF('RAPPORTO ISPEZIONE'!F271="X","Rimosso",IF('RAPPORTO ISPEZIONE'!G271="X","Presente","-")))</f>
        <v>-</v>
      </c>
      <c r="E250" s="1331" t="str">
        <f>IF('RAPPORTO ISPEZIONE'!I271="","-",'RAPPORTO ISPEZIONE'!I271)</f>
        <v>-</v>
      </c>
      <c r="F250" s="1332"/>
      <c r="G250" s="1332"/>
      <c r="H250" s="1332"/>
      <c r="I250" s="1332"/>
      <c r="J250" s="1332"/>
      <c r="K250" s="1332"/>
      <c r="L250" s="1333"/>
      <c r="M250" s="5"/>
      <c r="N250" s="5"/>
      <c r="O250" s="5"/>
      <c r="P250" s="5"/>
      <c r="R250" s="5"/>
      <c r="S250" s="5"/>
      <c r="T250" s="5"/>
      <c r="U250" s="5"/>
      <c r="V250" s="5"/>
    </row>
    <row r="251" spans="1:22" x14ac:dyDescent="0.25">
      <c r="A251" s="396" t="str">
        <f>IF('RAPPORTO ISPEZIONE'!H272="","-",'RAPPORTO ISPEZIONE'!H272)</f>
        <v>-</v>
      </c>
      <c r="B251" s="1329" t="str">
        <f>IF('RAPPORTO ISPEZIONE'!B272="","-",'RAPPORTO ISPEZIONE'!B272)</f>
        <v>-</v>
      </c>
      <c r="C251" s="1330"/>
      <c r="D251" s="396" t="str">
        <f>IF('RAPPORTO ISPEZIONE'!E272="X","Applicato",IF('RAPPORTO ISPEZIONE'!F272="X","Rimosso",IF('RAPPORTO ISPEZIONE'!G272="X","Presente","-")))</f>
        <v>-</v>
      </c>
      <c r="E251" s="1331" t="str">
        <f>IF('RAPPORTO ISPEZIONE'!I272="","-",'RAPPORTO ISPEZIONE'!I272)</f>
        <v>-</v>
      </c>
      <c r="F251" s="1332"/>
      <c r="G251" s="1332"/>
      <c r="H251" s="1332"/>
      <c r="I251" s="1332"/>
      <c r="J251" s="1332"/>
      <c r="K251" s="1332"/>
      <c r="L251" s="1333"/>
      <c r="M251" s="5"/>
      <c r="N251" s="5"/>
      <c r="O251" s="5"/>
      <c r="P251" s="5"/>
      <c r="R251" s="5"/>
      <c r="S251" s="5"/>
      <c r="T251" s="5"/>
      <c r="U251" s="5"/>
      <c r="V251" s="5"/>
    </row>
    <row r="252" spans="1:22" x14ac:dyDescent="0.25">
      <c r="A252" s="396" t="str">
        <f>IF('RAPPORTO ISPEZIONE'!H273="","-",'RAPPORTO ISPEZIONE'!H273)</f>
        <v>-</v>
      </c>
      <c r="B252" s="1329" t="str">
        <f>IF('RAPPORTO ISPEZIONE'!B273="","-",'RAPPORTO ISPEZIONE'!B273)</f>
        <v>-</v>
      </c>
      <c r="C252" s="1330"/>
      <c r="D252" s="396" t="str">
        <f>IF('RAPPORTO ISPEZIONE'!E273="X","Applicato",IF('RAPPORTO ISPEZIONE'!F273="X","Rimosso",IF('RAPPORTO ISPEZIONE'!G273="X","Presente","-")))</f>
        <v>-</v>
      </c>
      <c r="E252" s="1331" t="str">
        <f>IF('RAPPORTO ISPEZIONE'!I273="","-",'RAPPORTO ISPEZIONE'!I273)</f>
        <v>-</v>
      </c>
      <c r="F252" s="1332"/>
      <c r="G252" s="1332"/>
      <c r="H252" s="1332"/>
      <c r="I252" s="1332"/>
      <c r="J252" s="1332"/>
      <c r="K252" s="1332"/>
      <c r="L252" s="1333"/>
      <c r="M252" s="5"/>
      <c r="N252" s="5"/>
      <c r="O252" s="5"/>
      <c r="P252" s="5"/>
      <c r="R252" s="5"/>
      <c r="S252" s="5"/>
      <c r="T252" s="5"/>
      <c r="U252" s="5"/>
      <c r="V252" s="5"/>
    </row>
    <row r="253" spans="1:22" x14ac:dyDescent="0.25">
      <c r="A253" s="396" t="str">
        <f>IF('RAPPORTO ISPEZIONE'!H274="","-",'RAPPORTO ISPEZIONE'!H274)</f>
        <v>-</v>
      </c>
      <c r="B253" s="1329" t="str">
        <f>IF('RAPPORTO ISPEZIONE'!B274="","-",'RAPPORTO ISPEZIONE'!B274)</f>
        <v>-</v>
      </c>
      <c r="C253" s="1330"/>
      <c r="D253" s="396" t="str">
        <f>IF('RAPPORTO ISPEZIONE'!E274="X","Applicato",IF('RAPPORTO ISPEZIONE'!F274="X","Rimosso",IF('RAPPORTO ISPEZIONE'!G274="X","Presente","-")))</f>
        <v>-</v>
      </c>
      <c r="E253" s="1331" t="str">
        <f>IF('RAPPORTO ISPEZIONE'!I274="","-",'RAPPORTO ISPEZIONE'!I274)</f>
        <v>-</v>
      </c>
      <c r="F253" s="1332"/>
      <c r="G253" s="1332"/>
      <c r="H253" s="1332"/>
      <c r="I253" s="1332"/>
      <c r="J253" s="1332"/>
      <c r="K253" s="1332"/>
      <c r="L253" s="1333"/>
      <c r="M253" s="5"/>
      <c r="N253" s="5"/>
      <c r="O253" s="5"/>
      <c r="P253" s="5"/>
      <c r="R253" s="5"/>
      <c r="S253" s="5"/>
      <c r="T253" s="5"/>
      <c r="U253" s="5"/>
      <c r="V253" s="5"/>
    </row>
    <row r="254" spans="1:22" x14ac:dyDescent="0.25">
      <c r="A254" s="401"/>
      <c r="B254" s="402"/>
      <c r="C254" s="402"/>
      <c r="D254" s="401"/>
      <c r="E254" s="403"/>
      <c r="F254" s="403"/>
      <c r="G254" s="403"/>
      <c r="H254" s="403"/>
      <c r="I254" s="403"/>
      <c r="J254" s="403"/>
      <c r="K254" s="403"/>
      <c r="L254" s="403"/>
      <c r="M254" s="5"/>
      <c r="N254" s="5"/>
      <c r="O254" s="5"/>
      <c r="P254" s="5"/>
      <c r="R254" s="5"/>
      <c r="S254" s="5"/>
      <c r="T254" s="5"/>
      <c r="U254" s="5"/>
      <c r="V254" s="5"/>
    </row>
    <row r="255" spans="1:22" x14ac:dyDescent="0.25">
      <c r="A255" s="401"/>
      <c r="B255" s="402"/>
      <c r="C255" s="402"/>
      <c r="D255" s="401"/>
      <c r="E255" s="403"/>
      <c r="F255" s="403"/>
      <c r="G255" s="403"/>
      <c r="H255" s="403"/>
      <c r="I255" s="403"/>
      <c r="J255" s="403"/>
      <c r="K255" s="403"/>
      <c r="L255" s="403"/>
      <c r="M255" s="5"/>
      <c r="N255" s="5"/>
      <c r="O255" s="5"/>
      <c r="P255" s="5"/>
      <c r="R255" s="5"/>
      <c r="S255" s="5"/>
      <c r="T255" s="5"/>
      <c r="U255" s="5"/>
      <c r="V255" s="5"/>
    </row>
    <row r="256" spans="1:22" ht="18.75" x14ac:dyDescent="0.3">
      <c r="A256" s="386" t="s">
        <v>1012</v>
      </c>
      <c r="B256" s="5"/>
      <c r="C256" s="5"/>
      <c r="D256" s="5"/>
      <c r="E256" s="5"/>
      <c r="F256" s="5"/>
      <c r="G256" s="5"/>
      <c r="H256" s="5"/>
      <c r="I256" s="5"/>
      <c r="J256" s="5"/>
      <c r="K256" s="5"/>
      <c r="L256" s="5"/>
      <c r="M256" s="5"/>
      <c r="N256" s="5"/>
      <c r="O256" s="5"/>
      <c r="P256" s="5"/>
      <c r="R256" s="5"/>
      <c r="S256" s="5"/>
      <c r="T256" s="5"/>
      <c r="U256" s="5"/>
      <c r="V256" s="5"/>
    </row>
    <row r="257" spans="1:22" x14ac:dyDescent="0.25">
      <c r="A257" s="388" t="s">
        <v>586</v>
      </c>
      <c r="B257" s="1437" t="s">
        <v>475</v>
      </c>
      <c r="C257" s="1437"/>
      <c r="D257" s="388" t="s">
        <v>587</v>
      </c>
      <c r="E257" s="1439" t="s">
        <v>477</v>
      </c>
      <c r="F257" s="1439"/>
      <c r="G257" s="1439"/>
      <c r="H257" s="1439"/>
      <c r="I257" s="1439"/>
      <c r="J257" s="1439"/>
      <c r="K257" s="1439"/>
      <c r="L257" s="1439"/>
    </row>
    <row r="258" spans="1:22" ht="25.5" customHeight="1" x14ac:dyDescent="0.25">
      <c r="A258" s="346"/>
      <c r="B258" s="1476"/>
      <c r="C258" s="1476"/>
      <c r="D258" s="355"/>
      <c r="E258" s="1477"/>
      <c r="F258" s="1477"/>
      <c r="G258" s="1477"/>
      <c r="H258" s="1477"/>
      <c r="I258" s="1477"/>
      <c r="J258" s="1477"/>
      <c r="K258" s="1477"/>
      <c r="L258" s="1477"/>
      <c r="N258" s="5"/>
      <c r="O258" s="5"/>
      <c r="P258" s="5"/>
      <c r="R258" s="5"/>
      <c r="S258" s="5"/>
      <c r="T258" s="5"/>
      <c r="U258" s="5"/>
      <c r="V258" s="5"/>
    </row>
    <row r="259" spans="1:22" ht="25.5" customHeight="1" x14ac:dyDescent="0.25">
      <c r="A259" s="346"/>
      <c r="B259" s="1476"/>
      <c r="C259" s="1476"/>
      <c r="D259" s="355"/>
      <c r="E259" s="1376"/>
      <c r="F259" s="1377"/>
      <c r="G259" s="1377"/>
      <c r="H259" s="1377"/>
      <c r="I259" s="1377"/>
      <c r="J259" s="1377"/>
      <c r="K259" s="1377"/>
      <c r="L259" s="1378"/>
      <c r="N259" s="5"/>
      <c r="O259" s="5"/>
      <c r="P259" s="5"/>
      <c r="R259" s="5"/>
      <c r="S259" s="5"/>
      <c r="T259" s="5"/>
      <c r="U259" s="5"/>
      <c r="V259" s="5"/>
    </row>
    <row r="260" spans="1:22" ht="25.5" customHeight="1" x14ac:dyDescent="0.25">
      <c r="A260" s="346"/>
      <c r="B260" s="1476"/>
      <c r="C260" s="1476"/>
      <c r="D260" s="355"/>
      <c r="E260" s="1376"/>
      <c r="F260" s="1377"/>
      <c r="G260" s="1377"/>
      <c r="H260" s="1377"/>
      <c r="I260" s="1377"/>
      <c r="J260" s="1377"/>
      <c r="K260" s="1377"/>
      <c r="L260" s="1378"/>
      <c r="N260" s="5"/>
      <c r="O260" s="5"/>
      <c r="P260" s="5"/>
      <c r="R260" s="5"/>
      <c r="S260" s="5"/>
      <c r="T260" s="5"/>
      <c r="U260" s="5"/>
      <c r="V260" s="5"/>
    </row>
    <row r="261" spans="1:22" ht="25.5" customHeight="1" x14ac:dyDescent="0.25">
      <c r="A261" s="346"/>
      <c r="B261" s="1476"/>
      <c r="C261" s="1476"/>
      <c r="D261" s="355"/>
      <c r="E261" s="1376"/>
      <c r="F261" s="1377"/>
      <c r="G261" s="1377"/>
      <c r="H261" s="1377"/>
      <c r="I261" s="1377"/>
      <c r="J261" s="1377"/>
      <c r="K261" s="1377"/>
      <c r="L261" s="1378"/>
      <c r="N261" s="5"/>
      <c r="O261" s="5"/>
      <c r="P261" s="5"/>
      <c r="R261" s="5"/>
      <c r="S261" s="5"/>
      <c r="T261" s="5"/>
      <c r="U261" s="5"/>
      <c r="V261" s="5"/>
    </row>
    <row r="262" spans="1:22" ht="25.5" customHeight="1" x14ac:dyDescent="0.25">
      <c r="A262" s="346"/>
      <c r="B262" s="1476"/>
      <c r="C262" s="1476"/>
      <c r="D262" s="355"/>
      <c r="E262" s="1376"/>
      <c r="F262" s="1377"/>
      <c r="G262" s="1377"/>
      <c r="H262" s="1377"/>
      <c r="I262" s="1377"/>
      <c r="J262" s="1377"/>
      <c r="K262" s="1377"/>
      <c r="L262" s="1378"/>
      <c r="N262" s="5"/>
      <c r="O262" s="5"/>
      <c r="P262" s="5"/>
      <c r="R262" s="5"/>
      <c r="S262" s="5"/>
      <c r="T262" s="5"/>
      <c r="U262" s="5"/>
      <c r="V262" s="5"/>
    </row>
    <row r="263" spans="1:22" x14ac:dyDescent="0.25">
      <c r="B263" s="15"/>
      <c r="C263" s="15"/>
      <c r="D263" s="15"/>
      <c r="E263" s="15"/>
      <c r="F263" s="15"/>
      <c r="G263" s="7"/>
      <c r="H263" s="309"/>
      <c r="J263" s="5"/>
    </row>
    <row r="264" spans="1:22" ht="18.75" x14ac:dyDescent="0.3">
      <c r="A264" s="386" t="s">
        <v>593</v>
      </c>
      <c r="B264" s="15"/>
      <c r="C264" s="15"/>
      <c r="D264" s="15"/>
      <c r="E264" s="15"/>
      <c r="F264" s="15"/>
      <c r="G264" s="7"/>
      <c r="H264" s="309"/>
      <c r="J264" s="5"/>
    </row>
    <row r="265" spans="1:22" ht="27.4" customHeight="1" x14ac:dyDescent="0.25">
      <c r="A265" s="1372" t="s">
        <v>1687</v>
      </c>
      <c r="B265" s="1373"/>
      <c r="C265" s="1373"/>
      <c r="D265" s="1373"/>
      <c r="E265" s="1373"/>
      <c r="F265" s="1373"/>
      <c r="G265" s="1373"/>
      <c r="H265" s="1373"/>
      <c r="I265" s="1373"/>
      <c r="J265" s="1373"/>
      <c r="K265" s="1373"/>
      <c r="L265" s="1374"/>
      <c r="M265" s="5"/>
      <c r="N265" s="5"/>
      <c r="O265" s="5"/>
      <c r="P265" s="5"/>
      <c r="R265" s="5"/>
      <c r="S265" s="5"/>
      <c r="T265" s="5"/>
      <c r="U265" s="5"/>
    </row>
    <row r="266" spans="1:22" ht="27.4" customHeight="1" x14ac:dyDescent="0.25">
      <c r="A266" s="1372"/>
      <c r="B266" s="1373"/>
      <c r="C266" s="1373"/>
      <c r="D266" s="1373"/>
      <c r="E266" s="1373"/>
      <c r="F266" s="1373"/>
      <c r="G266" s="1373"/>
      <c r="H266" s="1373"/>
      <c r="I266" s="1373"/>
      <c r="J266" s="1373"/>
      <c r="K266" s="1373"/>
      <c r="L266" s="1374"/>
      <c r="M266" s="5"/>
      <c r="N266" s="5"/>
      <c r="O266" s="5"/>
      <c r="P266" s="5"/>
      <c r="R266" s="5"/>
      <c r="S266" s="5"/>
      <c r="T266" s="5"/>
      <c r="U266" s="5"/>
    </row>
    <row r="267" spans="1:22" ht="27.4" customHeight="1" x14ac:dyDescent="0.25">
      <c r="A267" s="1372"/>
      <c r="B267" s="1373"/>
      <c r="C267" s="1373"/>
      <c r="D267" s="1373"/>
      <c r="E267" s="1373"/>
      <c r="F267" s="1373"/>
      <c r="G267" s="1373"/>
      <c r="H267" s="1373"/>
      <c r="I267" s="1373"/>
      <c r="J267" s="1373"/>
      <c r="K267" s="1373"/>
      <c r="L267" s="1374"/>
      <c r="M267" s="5"/>
      <c r="N267" s="5"/>
      <c r="O267" s="5"/>
      <c r="P267" s="5"/>
      <c r="R267" s="5"/>
      <c r="S267" s="5"/>
      <c r="T267" s="5"/>
      <c r="U267" s="5"/>
    </row>
    <row r="268" spans="1:22" ht="27.4" customHeight="1" x14ac:dyDescent="0.25">
      <c r="A268" s="1372"/>
      <c r="B268" s="1373"/>
      <c r="C268" s="1373"/>
      <c r="D268" s="1373"/>
      <c r="E268" s="1373"/>
      <c r="F268" s="1373"/>
      <c r="G268" s="1373"/>
      <c r="H268" s="1373"/>
      <c r="I268" s="1373"/>
      <c r="J268" s="1373"/>
      <c r="K268" s="1373"/>
      <c r="L268" s="1374"/>
      <c r="M268" s="5"/>
      <c r="N268" s="5"/>
      <c r="O268" s="5"/>
      <c r="P268" s="5"/>
      <c r="R268" s="5"/>
      <c r="S268" s="5"/>
      <c r="T268" s="5"/>
      <c r="U268" s="5"/>
    </row>
    <row r="269" spans="1:22" ht="27.4" customHeight="1" x14ac:dyDescent="0.25">
      <c r="A269" s="1372"/>
      <c r="B269" s="1373"/>
      <c r="C269" s="1373"/>
      <c r="D269" s="1373"/>
      <c r="E269" s="1373"/>
      <c r="F269" s="1373"/>
      <c r="G269" s="1373"/>
      <c r="H269" s="1373"/>
      <c r="I269" s="1373"/>
      <c r="J269" s="1373"/>
      <c r="K269" s="1373"/>
      <c r="L269" s="1374"/>
      <c r="M269" s="5"/>
      <c r="N269" s="5"/>
      <c r="O269" s="5"/>
      <c r="P269" s="5"/>
      <c r="R269" s="5"/>
      <c r="S269" s="5"/>
      <c r="T269" s="5"/>
      <c r="U269" s="5"/>
    </row>
    <row r="270" spans="1:22" ht="30.6" customHeight="1" x14ac:dyDescent="0.25">
      <c r="A270" s="1369" t="s">
        <v>698</v>
      </c>
      <c r="B270" s="1369"/>
      <c r="C270" s="1369"/>
      <c r="D270" s="1369"/>
      <c r="E270" s="1369"/>
      <c r="F270" s="1369"/>
      <c r="G270" s="1369"/>
      <c r="H270" s="1369"/>
      <c r="I270" s="1369"/>
      <c r="J270" s="1369"/>
      <c r="K270" s="1369"/>
      <c r="L270" s="1369"/>
      <c r="M270" s="5"/>
      <c r="N270" s="5"/>
      <c r="O270" s="5"/>
      <c r="P270" s="5"/>
      <c r="R270" s="5"/>
      <c r="S270" s="5"/>
      <c r="T270" s="5"/>
      <c r="U270" s="5"/>
    </row>
    <row r="271" spans="1:22" x14ac:dyDescent="0.25">
      <c r="B271" s="15"/>
      <c r="C271" s="15"/>
      <c r="D271" s="15"/>
      <c r="E271" s="15"/>
      <c r="F271" s="15"/>
      <c r="G271" s="7"/>
      <c r="H271" s="309"/>
      <c r="J271" s="5"/>
    </row>
    <row r="272" spans="1:22" x14ac:dyDescent="0.25">
      <c r="B272" s="15"/>
      <c r="C272" s="15"/>
      <c r="D272" s="15"/>
      <c r="E272" s="15"/>
      <c r="F272" s="15"/>
      <c r="G272" s="7"/>
      <c r="H272" s="309"/>
      <c r="J272" s="5"/>
    </row>
    <row r="273" spans="1:29" x14ac:dyDescent="0.25">
      <c r="A273" s="309"/>
      <c r="S273" s="16"/>
    </row>
    <row r="274" spans="1:29" ht="15.75" thickBot="1" x14ac:dyDescent="0.3">
      <c r="S274" s="16"/>
    </row>
    <row r="275" spans="1:29" ht="21" x14ac:dyDescent="0.35">
      <c r="A275" s="684" t="s">
        <v>371</v>
      </c>
      <c r="B275" s="405"/>
      <c r="C275" s="405"/>
      <c r="D275" s="405"/>
      <c r="E275" s="406"/>
      <c r="F275" s="406"/>
      <c r="G275" s="405"/>
      <c r="H275" s="405"/>
      <c r="I275" s="405"/>
      <c r="J275" s="405"/>
      <c r="K275" s="405"/>
      <c r="L275" s="407"/>
      <c r="R275" s="16"/>
    </row>
    <row r="276" spans="1:29" x14ac:dyDescent="0.25">
      <c r="A276" s="1370" t="s">
        <v>532</v>
      </c>
      <c r="B276" s="1371"/>
      <c r="C276" s="1371"/>
      <c r="D276" s="9" t="s">
        <v>167</v>
      </c>
      <c r="E276" s="408">
        <f>IF(OR(C281&lt;&gt;"",C296&lt;&gt;"",C311&lt;&gt;"",C326&lt;&gt;"",C341&lt;&gt;"",C356&lt;&gt;""),ROUND(IF($E$289="F-F",1,SQRT(3))*AVERAGE(C281,C296,C311,C326,C341,C356),$H$163),"-")</f>
        <v>100</v>
      </c>
      <c r="F276" s="17" t="s">
        <v>168</v>
      </c>
      <c r="G276" s="408">
        <f>IF(OR(E281&lt;&gt;"",E296&lt;&gt;"",E311&lt;&gt;"",E326&lt;&gt;"",E341&lt;&gt;"",E356&lt;&gt;""),ROUND(IF($E$289="F-F",1,SQRT(3))*AVERAGE(E281,E296,E311,E326,E341,E356),$H$163),"-")</f>
        <v>100</v>
      </c>
      <c r="H276" s="9" t="s">
        <v>169</v>
      </c>
      <c r="I276" s="408">
        <f>IF(OR(G281&lt;&gt;"",G296&lt;&gt;"",G311&lt;&gt;"",G326&lt;&gt;"",G341&lt;&gt;"",G356&lt;&gt;""),ROUND(IF($E$289="F-F",1,SQRT(3))*AVERAGE(G281,G296,G311,G326,G341,G356),$H$163),"-")</f>
        <v>100</v>
      </c>
      <c r="J276" s="7"/>
      <c r="K276" s="7"/>
      <c r="L276" s="18"/>
    </row>
    <row r="277" spans="1:29" ht="21" x14ac:dyDescent="0.35">
      <c r="A277" s="409"/>
      <c r="B277" s="7"/>
      <c r="C277" s="7"/>
      <c r="D277" s="7"/>
      <c r="E277" s="410"/>
      <c r="F277" s="410"/>
      <c r="G277" s="7"/>
      <c r="H277" s="7"/>
      <c r="I277" s="7"/>
      <c r="J277" s="7"/>
      <c r="K277" s="7"/>
      <c r="L277" s="18"/>
    </row>
    <row r="278" spans="1:29" x14ac:dyDescent="0.25">
      <c r="A278" s="411" t="s">
        <v>176</v>
      </c>
      <c r="B278" s="289" t="s">
        <v>1230</v>
      </c>
      <c r="C278" s="7"/>
      <c r="D278" s="7"/>
      <c r="E278" s="7"/>
      <c r="F278" s="7"/>
      <c r="G278" s="7"/>
      <c r="H278" s="7"/>
      <c r="I278" s="7"/>
      <c r="J278" s="7"/>
      <c r="K278" s="7"/>
      <c r="L278" s="18"/>
    </row>
    <row r="279" spans="1:29" x14ac:dyDescent="0.25">
      <c r="A279" s="1364" t="s">
        <v>166</v>
      </c>
      <c r="B279" s="1347" t="s">
        <v>167</v>
      </c>
      <c r="C279" s="383">
        <f>IF('RAPPORTO ISPEZIONE'!B185&lt;&gt;"",'RAPPORTO ISPEZIONE'!B185,"")</f>
        <v>57.73</v>
      </c>
      <c r="D279" s="1347" t="s">
        <v>168</v>
      </c>
      <c r="E279" s="383">
        <f>IF('RAPPORTO ISPEZIONE'!C185&lt;&gt;"",'RAPPORTO ISPEZIONE'!C185,"")</f>
        <v>57.78</v>
      </c>
      <c r="F279" s="1347" t="s">
        <v>169</v>
      </c>
      <c r="G279" s="383">
        <f>IF('RAPPORTO ISPEZIONE'!D185&lt;&gt;"",'RAPPORTO ISPEZIONE'!D185,"")</f>
        <v>57.71</v>
      </c>
      <c r="H279" s="1347" t="s">
        <v>174</v>
      </c>
      <c r="I279" s="383">
        <f>IF('RAPPORTO ISPEZIONE'!H184&lt;&gt;"",'RAPPORTO ISPEZIONE'!H184,"")</f>
        <v>0.94</v>
      </c>
      <c r="J279" s="7"/>
      <c r="K279" s="7"/>
      <c r="L279" s="18"/>
    </row>
    <row r="280" spans="1:29" x14ac:dyDescent="0.25">
      <c r="A280" s="1365"/>
      <c r="B280" s="1348"/>
      <c r="C280" s="301"/>
      <c r="D280" s="1348"/>
      <c r="E280" s="301"/>
      <c r="F280" s="1348"/>
      <c r="G280" s="301"/>
      <c r="H280" s="1348"/>
      <c r="I280" s="301"/>
      <c r="J280" s="7"/>
      <c r="K280" s="7"/>
      <c r="L280" s="18"/>
    </row>
    <row r="281" spans="1:29" x14ac:dyDescent="0.25">
      <c r="A281" s="1366"/>
      <c r="B281" s="1349"/>
      <c r="C281" s="12">
        <f>IF(C279="",IF(C280="","",C280),C279)</f>
        <v>57.73</v>
      </c>
      <c r="D281" s="1349"/>
      <c r="E281" s="12">
        <f>IF(E279="",IF(E280="","",E280),E279)</f>
        <v>57.78</v>
      </c>
      <c r="F281" s="1349"/>
      <c r="G281" s="12">
        <f>IF(G279="",IF(G280="","",G280),G279)</f>
        <v>57.71</v>
      </c>
      <c r="H281" s="1349"/>
      <c r="I281" s="12">
        <f>IF(I279="",IF(I280="","",I280),I279)</f>
        <v>0.94</v>
      </c>
      <c r="J281" s="7"/>
      <c r="K281" s="7"/>
      <c r="L281" s="18"/>
    </row>
    <row r="282" spans="1:29" s="3" customFormat="1" x14ac:dyDescent="0.25">
      <c r="A282" s="1364" t="s">
        <v>170</v>
      </c>
      <c r="B282" s="1347" t="s">
        <v>171</v>
      </c>
      <c r="C282" s="383">
        <f>IF('RAPPORTO ISPEZIONE'!B186&lt;&gt;"",'RAPPORTO ISPEZIONE'!B186,"")</f>
        <v>2.5099999999999998</v>
      </c>
      <c r="D282" s="1347" t="s">
        <v>172</v>
      </c>
      <c r="E282" s="383">
        <f>IF('RAPPORTO ISPEZIONE'!C186&lt;&gt;"",'RAPPORTO ISPEZIONE'!C186,"")</f>
        <v>2.52</v>
      </c>
      <c r="F282" s="1347" t="s">
        <v>173</v>
      </c>
      <c r="G282" s="383">
        <f>IF('RAPPORTO ISPEZIONE'!D186&lt;&gt;"",'RAPPORTO ISPEZIONE'!D186,"")</f>
        <v>2.5299999999999998</v>
      </c>
      <c r="H282" s="1347" t="s">
        <v>175</v>
      </c>
      <c r="I282" s="383" t="str">
        <f>IF('RAPPORTO ISPEZIONE'!H186&lt;&gt;"",'RAPPORTO ISPEZIONE'!H186,"")</f>
        <v/>
      </c>
      <c r="J282" s="5"/>
      <c r="K282" s="7"/>
      <c r="L282" s="412"/>
      <c r="AC282" s="1"/>
    </row>
    <row r="283" spans="1:29" s="3" customFormat="1" x14ac:dyDescent="0.25">
      <c r="A283" s="1365"/>
      <c r="B283" s="1348"/>
      <c r="C283" s="301"/>
      <c r="D283" s="1348"/>
      <c r="E283" s="301"/>
      <c r="F283" s="1348"/>
      <c r="G283" s="301"/>
      <c r="H283" s="1348"/>
      <c r="I283" s="301"/>
      <c r="J283" s="5"/>
      <c r="K283" s="7"/>
      <c r="L283" s="412"/>
    </row>
    <row r="284" spans="1:29" s="3" customFormat="1" x14ac:dyDescent="0.25">
      <c r="A284" s="1366"/>
      <c r="B284" s="1349"/>
      <c r="C284" s="12">
        <f>IF(C282="",IF(C283="","",C283),C282)</f>
        <v>2.5099999999999998</v>
      </c>
      <c r="D284" s="1349"/>
      <c r="E284" s="12">
        <f>IF(E282="",IF(E283="","",E283),E282)</f>
        <v>2.52</v>
      </c>
      <c r="F284" s="1349"/>
      <c r="G284" s="12">
        <f>IF(G282="",IF(G283="","",G283),G282)</f>
        <v>2.5299999999999998</v>
      </c>
      <c r="H284" s="1349"/>
      <c r="I284" s="12" t="str">
        <f>IF(I282="",IF(I283="","",I283),I282)</f>
        <v/>
      </c>
      <c r="J284" s="5"/>
      <c r="K284" s="7"/>
      <c r="L284" s="412"/>
    </row>
    <row r="285" spans="1:29" s="3" customFormat="1" ht="18" x14ac:dyDescent="0.35">
      <c r="A285" s="413"/>
      <c r="B285" s="347" t="s">
        <v>345</v>
      </c>
      <c r="C285" s="4"/>
      <c r="D285" s="4"/>
      <c r="E285" s="2" t="str">
        <f>IF(OR($H$189="A",$H$189="B",$H$189="C"),IF(OR($H$180="X",$H$183="X"),IF(C290="X",IF($H$146="X",(IF($H$155="X",(IF(AND(C287&lt;$H$194,C287&gt;=$H$193),"SI","NO")),(IF($H$152="X",IF(AND((C287*$O$152/$O$149)&lt;$H$194,(C287*$O$152/$O$149)&gt;=$H$193),"SI","NO"),"ERRORE")))),IF($H$143="X",IF($H$152="X",(IF(AND(C287&lt;$H$194,C287&gt;=$H$193),"SI","NO")),"ERRORE"),"ERRORE")),"NON SERVE"),IF($H$186="X",IF($H$146="X",(IF($H$155="X",(IF(AND(MAX(C284,E284,G284,)&lt;$H$194,MAX(C284,E284,G284)&gt;=$H$193),"SI","NO")),(IF($H$152="X",IF(AND((MAX(C284,E284,G284)*$O$152/$O$149)&lt;$H$194,(MAX(C284,E284,G284)*$O$152/$O$149)&gt;=$H$193),"SI","NO"),"ERRORE")))),IF($H$143="X",IF($H$152="X",(IF(AND(MAX(C284,E284,G284)&lt;$H$194,MAX(C284,E284,G284)&gt;=$H$193),"SI","NO")),"ERRORE"),"ERRORE")))),"NON SERVE")</f>
        <v>NO</v>
      </c>
      <c r="F285" s="347" t="s">
        <v>322</v>
      </c>
      <c r="G285" s="4"/>
      <c r="H285" s="4"/>
      <c r="I285" s="2" t="str">
        <f>IF($H$189="0,2S",IF(OR($H$180="X",$H$183="X"),IF(C290="X",IF($H$146="X",(IF($H$155="X",(IF(AND(C287&lt;0.1*$H$192,C287&gt;=$H$193),"SI","NO")),(IF($H$152="X",IF(AND((C287*$O$152/$O$149)&lt;0.1*$H$192,(C287*$O$152/$O$149)&gt;=$H$193),"SI","NO"),"ERRORE")))),IF($H$143="X",IF($H$152="X",(IF(AND(C287&lt;0.1*$H$192,C287&gt;=$H$193),"SI","NO")),"ERRORE"),"ERRORE")),"NON SERVE"),IF($H$186="X",IF($H$146="X",(IF($H$155="X",(IF(AND(MAX(C284,E284,G284,)&lt;0.1*$H$192,MAX(C284,E284,G284)&gt;=$H$193),"SI","NO")),(IF($H$152="X",IF(AND((MAX(C284,E284,G284)*$O$152/$O$149)&lt;0.1*$H$192,(MAX(C284,E284,G284)*$O$152/$O$149)&gt;=$H$193),"SI","NO"),"ERRORE")))),IF($H$143="X",IF($H$152="X",(IF(AND(MAX(C284,E284,G284)&lt;0.1*$H$192,MAX(C284,E284,G284)&gt;=$H$193),"SI","NO")),"ERRORE"),"ERRORE")))),"NON SERVE")</f>
        <v>NON SERVE</v>
      </c>
      <c r="J285" s="7"/>
      <c r="K285" s="7"/>
      <c r="L285" s="412"/>
    </row>
    <row r="286" spans="1:29" x14ac:dyDescent="0.25">
      <c r="A286" s="1367" t="s">
        <v>8</v>
      </c>
      <c r="B286" s="9" t="s">
        <v>188</v>
      </c>
      <c r="C286" s="414">
        <f>ROUND(AVERAGE(C281,E281,G281),$H$163)</f>
        <v>57.7</v>
      </c>
      <c r="D286" s="7"/>
      <c r="E286" s="7"/>
      <c r="F286" s="351" t="s">
        <v>550</v>
      </c>
      <c r="G286" s="289" t="s">
        <v>470</v>
      </c>
      <c r="H286" s="124" t="s">
        <v>238</v>
      </c>
      <c r="I286" s="356" t="s">
        <v>521</v>
      </c>
      <c r="J286" s="7"/>
      <c r="K286" s="7"/>
      <c r="L286" s="18"/>
    </row>
    <row r="287" spans="1:29" x14ac:dyDescent="0.25">
      <c r="A287" s="1367"/>
      <c r="B287" s="9" t="s">
        <v>189</v>
      </c>
      <c r="C287" s="415">
        <f>ROUND(AVERAGE(C284,E284,G284),$H$162)</f>
        <v>2.52</v>
      </c>
      <c r="D287" s="1363" t="s">
        <v>297</v>
      </c>
      <c r="E287" s="383" t="str">
        <f>IF('RAPPORTO ISPEZIONE'!E177&lt;&gt;"",'RAPPORTO ISPEZIONE'!D177,IF('RAPPORTO ISPEZIONE'!G177&lt;&gt;"",'RAPPORTO ISPEZIONE'!F177,""))</f>
        <v>F-N</v>
      </c>
      <c r="F287" s="1368" t="s">
        <v>548</v>
      </c>
      <c r="G287" s="383">
        <f>IF('RAPPORTO ISPEZIONE'!F184&lt;&gt;"",IF('RAPPORTO ISPEZIONE'!$G$183=TABELLE!$B$177,'RAPPORTO ISPEZIONE'!F184/1000,IF('RAPPORTO ISPEZIONE'!$G$183=TABELLE!$B$178,'RAPPORTO ISPEZIONE'!F184,IF('RAPPORTO ISPEZIONE'!$G$183=TABELLE!$B$179,'RAPPORTO ISPEZIONE'!F184*1000))),"")</f>
        <v>2.1110000000000002</v>
      </c>
      <c r="H287" s="9" t="s">
        <v>177</v>
      </c>
      <c r="I287" s="416">
        <f>IF('RAPPORTO ISPEZIONE'!I184&lt;&gt;"",'RAPPORTO ISPEZIONE'!I184,"")</f>
        <v>-1E-3</v>
      </c>
      <c r="J287" s="302"/>
      <c r="K287" s="417">
        <f>IF(AND(I287="",J287=""),"",IF(I287="",J287,I287))</f>
        <v>-1E-3</v>
      </c>
      <c r="L287" s="33" t="s">
        <v>191</v>
      </c>
    </row>
    <row r="288" spans="1:29" x14ac:dyDescent="0.25">
      <c r="A288" s="1367"/>
      <c r="B288" s="418" t="s">
        <v>332</v>
      </c>
      <c r="C288" s="419">
        <f>IF($O$141="X",IF($H$155="X",IF(C290="X",C287/$O$152,IF(E290="X",C284/$O$152,IF(G290="X",E284/$O$152,IF(I290="X",G284/$O$152,"ERRORE")))),IF($H$152="X",IF(C290="X",C287/$O$149,IF(E290="X",C284/$O$149,IF(G290="X",E284/$O$149,IF(I290="X",G284/$O$149,"ERRORE")))))),"NON SERVE")</f>
        <v>0.504</v>
      </c>
      <c r="D288" s="1363"/>
      <c r="E288" s="283"/>
      <c r="F288" s="1368"/>
      <c r="G288" s="283"/>
      <c r="H288" s="9" t="s">
        <v>178</v>
      </c>
      <c r="I288" s="416">
        <f>IF('RAPPORTO ISPEZIONE'!I185&lt;&gt;"",'RAPPORTO ISPEZIONE'!I185,"")</f>
        <v>-1.1000000000000001E-3</v>
      </c>
      <c r="J288" s="302"/>
      <c r="K288" s="417">
        <f>IF(AND(I288="",J288=""),"",IF(I288="",J288,I288))</f>
        <v>-1.1000000000000001E-3</v>
      </c>
      <c r="L288" s="420">
        <f>ROUND(AVERAGE(K287,K288,K289),$H$164+2)</f>
        <v>-1.1000000000000001E-3</v>
      </c>
    </row>
    <row r="289" spans="1:31" x14ac:dyDescent="0.25">
      <c r="A289" s="1367"/>
      <c r="B289" s="27" t="s">
        <v>333</v>
      </c>
      <c r="C289" s="419">
        <f>IF($O$159="X",IF($H$155="X",IF($O$162="X",IF(E289="F-N",C286/$O$171,C286/($O$171*SQRT(3))),IF($O$161="X",IF(E289="F-F",C286/$O$171,"ERRORE"),IF($O$160="X",C286/$O$171))),IF($O$159="X",IF($H$152="X",IF($O$162="X",IF(E289="F-N",C286/$O$167,C286/($O$167*SQRT(3))),IF($O$161="X",IF(E289="F-F",C286/$O$167,"ERRORE"),IF($O$160="X",C286/$O$167)))))))</f>
        <v>0.57700000000000007</v>
      </c>
      <c r="D289" s="1363"/>
      <c r="E289" s="12" t="str">
        <f>IF(E288="",E287,E288)</f>
        <v>F-N</v>
      </c>
      <c r="F289" s="1368"/>
      <c r="G289" s="12">
        <f>IF(G288="",G287,G288)</f>
        <v>2.1110000000000002</v>
      </c>
      <c r="H289" s="9" t="s">
        <v>179</v>
      </c>
      <c r="I289" s="416">
        <f>IF('RAPPORTO ISPEZIONE'!I186&lt;&gt;"",'RAPPORTO ISPEZIONE'!I186,"")</f>
        <v>-1.1999999999999999E-3</v>
      </c>
      <c r="J289" s="302"/>
      <c r="K289" s="417">
        <f>IF(AND(I289="",J289=""),"",IF(I289="",J289,I289))</f>
        <v>-1.1999999999999999E-3</v>
      </c>
      <c r="L289" s="421"/>
    </row>
    <row r="290" spans="1:31" x14ac:dyDescent="0.25">
      <c r="A290" s="422" t="s">
        <v>286</v>
      </c>
      <c r="B290" s="9" t="s">
        <v>282</v>
      </c>
      <c r="C290" s="289" t="s">
        <v>1230</v>
      </c>
      <c r="D290" s="9" t="s">
        <v>283</v>
      </c>
      <c r="E290" s="289"/>
      <c r="F290" s="26" t="s">
        <v>284</v>
      </c>
      <c r="G290" s="289"/>
      <c r="H290" s="28" t="s">
        <v>285</v>
      </c>
      <c r="I290" s="289"/>
      <c r="J290" s="7"/>
      <c r="K290" s="7"/>
      <c r="L290" s="423" t="str">
        <f>IF(B278="X",IF((IF(C290="X",1,0)+IF(E290="X",1,0)+IF(G290="X",1,0)+IF(I290="X",1,0))&lt;&gt;1,"ERRORE",""),"")</f>
        <v/>
      </c>
    </row>
    <row r="291" spans="1:31" x14ac:dyDescent="0.25">
      <c r="A291" s="424"/>
      <c r="B291" s="7"/>
      <c r="C291" s="7"/>
      <c r="D291" s="7"/>
      <c r="E291" s="7"/>
      <c r="F291" s="7"/>
      <c r="G291" s="7"/>
      <c r="H291" s="7"/>
      <c r="I291" s="7"/>
      <c r="J291" s="7"/>
      <c r="K291" s="7"/>
      <c r="L291" s="18"/>
    </row>
    <row r="292" spans="1:31" x14ac:dyDescent="0.25">
      <c r="A292" s="424"/>
      <c r="B292" s="7"/>
      <c r="C292" s="7"/>
      <c r="D292" s="7"/>
      <c r="E292" s="7"/>
      <c r="F292" s="7"/>
      <c r="G292" s="7"/>
      <c r="H292" s="7"/>
      <c r="I292" s="7"/>
      <c r="J292" s="7"/>
      <c r="K292" s="7"/>
      <c r="L292" s="18"/>
    </row>
    <row r="293" spans="1:31" x14ac:dyDescent="0.25">
      <c r="A293" s="411" t="s">
        <v>180</v>
      </c>
      <c r="B293" s="289" t="s">
        <v>1230</v>
      </c>
      <c r="C293" s="7"/>
      <c r="D293" s="7"/>
      <c r="E293" s="7"/>
      <c r="F293" s="7"/>
      <c r="G293" s="7"/>
      <c r="H293" s="7"/>
      <c r="I293" s="7"/>
      <c r="J293" s="7"/>
      <c r="K293" s="7"/>
      <c r="L293" s="18"/>
    </row>
    <row r="294" spans="1:31" x14ac:dyDescent="0.25">
      <c r="A294" s="1364" t="s">
        <v>166</v>
      </c>
      <c r="B294" s="1347" t="s">
        <v>167</v>
      </c>
      <c r="C294" s="383">
        <f>IF('RAPPORTO ISPEZIONE'!B188&lt;&gt;"",'RAPPORTO ISPEZIONE'!B188,"")</f>
        <v>57.6</v>
      </c>
      <c r="D294" s="1347" t="s">
        <v>168</v>
      </c>
      <c r="E294" s="383">
        <f>IF('RAPPORTO ISPEZIONE'!C188&lt;&gt;"",'RAPPORTO ISPEZIONE'!C188,"")</f>
        <v>57.69</v>
      </c>
      <c r="F294" s="1347" t="s">
        <v>169</v>
      </c>
      <c r="G294" s="383">
        <f>IF('RAPPORTO ISPEZIONE'!D188&lt;&gt;"",'RAPPORTO ISPEZIONE'!D188,"")</f>
        <v>57.78</v>
      </c>
      <c r="H294" s="1347" t="s">
        <v>174</v>
      </c>
      <c r="I294" s="383">
        <f>IF('RAPPORTO ISPEZIONE'!H187&lt;&gt;"",'RAPPORTO ISPEZIONE'!H187,"")</f>
        <v>0.95</v>
      </c>
      <c r="J294" s="7"/>
      <c r="K294" s="7"/>
      <c r="L294" s="18"/>
    </row>
    <row r="295" spans="1:31" x14ac:dyDescent="0.25">
      <c r="A295" s="1365"/>
      <c r="B295" s="1348"/>
      <c r="C295" s="301"/>
      <c r="D295" s="1348"/>
      <c r="E295" s="301"/>
      <c r="F295" s="1348"/>
      <c r="G295" s="301"/>
      <c r="H295" s="1348"/>
      <c r="I295" s="301"/>
      <c r="J295" s="7"/>
      <c r="K295" s="7"/>
      <c r="L295" s="18"/>
    </row>
    <row r="296" spans="1:31" x14ac:dyDescent="0.25">
      <c r="A296" s="1366"/>
      <c r="B296" s="1349"/>
      <c r="C296" s="12">
        <f>IF(C294="",IF(C295="","",C295),C294)</f>
        <v>57.6</v>
      </c>
      <c r="D296" s="1349"/>
      <c r="E296" s="12">
        <f>IF(E294="",IF(E295="","",E295),E294)</f>
        <v>57.69</v>
      </c>
      <c r="F296" s="1349"/>
      <c r="G296" s="12">
        <f>IF(G294="",IF(G295="","",G295),G294)</f>
        <v>57.78</v>
      </c>
      <c r="H296" s="1349"/>
      <c r="I296" s="12">
        <f>IF(I294="",IF(I295="","",I295),I294)</f>
        <v>0.95</v>
      </c>
      <c r="J296" s="7"/>
      <c r="K296" s="7"/>
      <c r="L296" s="18"/>
    </row>
    <row r="297" spans="1:31" s="3" customFormat="1" x14ac:dyDescent="0.25">
      <c r="A297" s="1364" t="s">
        <v>170</v>
      </c>
      <c r="B297" s="1347" t="s">
        <v>171</v>
      </c>
      <c r="C297" s="383">
        <f>IF('RAPPORTO ISPEZIONE'!B189&lt;&gt;"",'RAPPORTO ISPEZIONE'!B189,"")</f>
        <v>3.27</v>
      </c>
      <c r="D297" s="1347" t="s">
        <v>172</v>
      </c>
      <c r="E297" s="383">
        <f>IF('RAPPORTO ISPEZIONE'!C189&lt;&gt;"",'RAPPORTO ISPEZIONE'!C189,"")</f>
        <v>3.3410000000000002</v>
      </c>
      <c r="F297" s="1347" t="s">
        <v>173</v>
      </c>
      <c r="G297" s="383">
        <f>IF('RAPPORTO ISPEZIONE'!D189&lt;&gt;"",'RAPPORTO ISPEZIONE'!D189,"")</f>
        <v>3.2749999999999999</v>
      </c>
      <c r="H297" s="1347" t="s">
        <v>175</v>
      </c>
      <c r="I297" s="383" t="str">
        <f>IF('RAPPORTO ISPEZIONE'!H189&lt;&gt;"",'RAPPORTO ISPEZIONE'!H189,"")</f>
        <v/>
      </c>
      <c r="J297" s="5"/>
      <c r="K297" s="7"/>
      <c r="L297" s="412"/>
      <c r="AC297" s="5"/>
      <c r="AD297" s="425"/>
      <c r="AE297" s="1"/>
    </row>
    <row r="298" spans="1:31" s="3" customFormat="1" x14ac:dyDescent="0.25">
      <c r="A298" s="1365"/>
      <c r="B298" s="1348"/>
      <c r="C298" s="301"/>
      <c r="D298" s="1348"/>
      <c r="E298" s="301"/>
      <c r="F298" s="1348"/>
      <c r="G298" s="301"/>
      <c r="H298" s="1348"/>
      <c r="I298" s="301"/>
      <c r="J298" s="7"/>
      <c r="K298" s="7"/>
      <c r="L298" s="412"/>
      <c r="AC298" s="5"/>
      <c r="AD298" s="425"/>
      <c r="AE298" s="1"/>
    </row>
    <row r="299" spans="1:31" s="3" customFormat="1" x14ac:dyDescent="0.25">
      <c r="A299" s="1366"/>
      <c r="B299" s="1349"/>
      <c r="C299" s="12">
        <f>IF(C297="",IF(C298="","",C298),C297)</f>
        <v>3.27</v>
      </c>
      <c r="D299" s="1349"/>
      <c r="E299" s="12">
        <f>IF(E297="",IF(E298="","",E298),E297)</f>
        <v>3.3410000000000002</v>
      </c>
      <c r="F299" s="1349"/>
      <c r="G299" s="12">
        <f>IF(G297="",IF(G298="","",G298),G297)</f>
        <v>3.2749999999999999</v>
      </c>
      <c r="H299" s="1349"/>
      <c r="I299" s="12" t="str">
        <f>IF(I297="",IF(I298="","",I298),I297)</f>
        <v/>
      </c>
      <c r="J299" s="7"/>
      <c r="K299" s="7"/>
      <c r="L299" s="412"/>
      <c r="AC299" s="5"/>
      <c r="AD299" s="425"/>
      <c r="AE299" s="1"/>
    </row>
    <row r="300" spans="1:31" s="3" customFormat="1" ht="18" x14ac:dyDescent="0.35">
      <c r="A300" s="413"/>
      <c r="B300" s="347" t="s">
        <v>345</v>
      </c>
      <c r="C300" s="4"/>
      <c r="D300" s="4"/>
      <c r="E300" s="2" t="str">
        <f>IF(OR($H$189="A",$H$189="B",$H$189="C"),IF(OR($H$180="X",$H$183="X"),IF(C305="X",IF($H$146="X",(IF($H$155="X",(IF(AND(C302&lt;$H$194,C302&gt;=$H$193),"SI","NO")),(IF($H$152="X",IF(AND((C302*$O$152/$O$149)&lt;$H$194,(C302*$O$152/$O$149)&gt;=$H$193),"SI","NO"),"ERRORE")))),IF($H$143="X",IF($H$152="X",(IF(AND(C302&lt;$H$194,C302&gt;=$H$193),"SI","NO")),"ERRORE"),"ERRORE")),"NON SERVE"),IF($H$186="X",IF($H$146="X",(IF($H$155="X",(IF(AND(MAX(C299,E299,G299,)&lt;$H$194,MAX(C299,E299,G299)&gt;=$H$193),"SI","NO")),(IF($H$152="X",IF(AND((MAX(C299,E299,G299)*$O$152/$O$149)&lt;$H$194,(MAX(C299,E299,G299)*$O$152/$O$149)&gt;=$H$193),"SI","NO"),"ERRORE")))),IF($H$143="X",IF($H$152="X",(IF(AND(MAX(C299,E299,G299)&lt;$H$194,MAX(C299,E299,G299)&gt;=$H$193),"SI","NO")),"ERRORE"),"ERRORE")))),"NON SERVE")</f>
        <v>NO</v>
      </c>
      <c r="F300" s="347" t="s">
        <v>322</v>
      </c>
      <c r="G300" s="4"/>
      <c r="H300" s="4"/>
      <c r="I300" s="2" t="str">
        <f>IF($H$189="0,2S",IF(OR($H$180="X",$H$183="X"),IF(C305="X",IF($H$146="X",(IF($H$155="X",(IF(AND(C302&lt;0.1*$H$192,C302&gt;=$H$193),"SI","NO")),(IF($H$152="X",IF(AND((C302*$O$152/$O$149)&lt;0.1*$H$192,(C302*$O$152/$O$149)&gt;=$H$193),"SI","NO"),"ERRORE")))),IF($H$143="X",IF($H$152="X",(IF(AND(C302&lt;0.1*$H$192,C302&gt;=$H$193),"SI","NO")),"ERRORE"),"ERRORE")),"NON SERVE"),IF($H$186="X",IF($H$146="X",(IF($H$155="X",(IF(AND(MAX(C299,E299,G299,)&lt;0.1*$H$192,MAX(C299,E299,G299)&gt;=$H$193),"SI","NO")),(IF($H$152="X",IF(AND((MAX(C299,E299,G299)*$O$152/$O$149)&lt;0.1*$H$192,(MAX(C299,E299,G299)*$O$152/$O$149)&gt;=$H$193),"SI","NO"),"ERRORE")))),IF($H$143="X",IF($H$152="X",(IF(AND(MAX(C299,E299,G299)&lt;0.1*$H$192,MAX(C299,E299,G299)&gt;=$H$193),"SI","NO")),"ERRORE"),"ERRORE")))),"NON SERVE")</f>
        <v>NON SERVE</v>
      </c>
      <c r="J300" s="7"/>
      <c r="K300" s="7"/>
      <c r="L300" s="412"/>
      <c r="AC300" s="5"/>
      <c r="AD300" s="425"/>
      <c r="AE300" s="1"/>
    </row>
    <row r="301" spans="1:31" x14ac:dyDescent="0.25">
      <c r="A301" s="1367" t="s">
        <v>8</v>
      </c>
      <c r="B301" s="9" t="s">
        <v>188</v>
      </c>
      <c r="C301" s="414">
        <f>ROUND(AVERAGE(C296,E296,G296),$H$163)</f>
        <v>57.7</v>
      </c>
      <c r="D301" s="7"/>
      <c r="E301" s="7"/>
      <c r="F301" s="351" t="s">
        <v>550</v>
      </c>
      <c r="G301" s="289" t="s">
        <v>469</v>
      </c>
      <c r="H301" s="124" t="s">
        <v>238</v>
      </c>
      <c r="I301" s="356" t="s">
        <v>521</v>
      </c>
      <c r="J301" s="7"/>
      <c r="K301" s="7"/>
      <c r="L301" s="18"/>
      <c r="AC301" s="5"/>
      <c r="AD301" s="426"/>
    </row>
    <row r="302" spans="1:31" x14ac:dyDescent="0.25">
      <c r="A302" s="1367"/>
      <c r="B302" s="9" t="s">
        <v>189</v>
      </c>
      <c r="C302" s="415">
        <f>ROUND(AVERAGE(C299,E299,G299),$H$162)</f>
        <v>3.3</v>
      </c>
      <c r="D302" s="1363" t="s">
        <v>297</v>
      </c>
      <c r="E302" s="9"/>
      <c r="F302" s="1368" t="s">
        <v>548</v>
      </c>
      <c r="G302" s="383">
        <f>IF('RAPPORTO ISPEZIONE'!F187&lt;&gt;"",IF('RAPPORTO ISPEZIONE'!$G$183=TABELLE!$B$177,'RAPPORTO ISPEZIONE'!F187/1000,IF('RAPPORTO ISPEZIONE'!$G$183=TABELLE!$B$178,'RAPPORTO ISPEZIONE'!F187,IF('RAPPORTO ISPEZIONE'!$G$183=TABELLE!$B$179,'RAPPORTO ISPEZIONE'!F187*1000))),"")</f>
        <v>2.1120000000000001</v>
      </c>
      <c r="H302" s="9" t="s">
        <v>177</v>
      </c>
      <c r="I302" s="416">
        <f>IF('RAPPORTO ISPEZIONE'!I187&lt;&gt;"",'RAPPORTO ISPEZIONE'!I187,"")</f>
        <v>-1.2999999999999999E-3</v>
      </c>
      <c r="J302" s="302"/>
      <c r="K302" s="417">
        <f>IF(AND(I302="",J302=""),"",IF(I302="",J302,I302))</f>
        <v>-1.2999999999999999E-3</v>
      </c>
      <c r="L302" s="33" t="s">
        <v>191</v>
      </c>
    </row>
    <row r="303" spans="1:31" x14ac:dyDescent="0.25">
      <c r="A303" s="1367"/>
      <c r="B303" s="418" t="s">
        <v>332</v>
      </c>
      <c r="C303" s="419">
        <f>IF($O$141="X",IF($H$155="X",IF(C305="X",C302/$O$152,IF(E305="X",C299/$O$152,IF(G305="X",E299/$O$152,IF(I305="X",G299/$O$152,"ERRORE")))),IF($H$152="X",IF(C305="X",C302/$O$149,IF(E305="X",C299/$O$149,IF(G305="X",E299/$O$149,IF(I305="X",G299/$O$149,"ERRORE")))))),"NON SERVE")</f>
        <v>0.65999999999999992</v>
      </c>
      <c r="D303" s="1363"/>
      <c r="E303" s="9"/>
      <c r="F303" s="1368"/>
      <c r="G303" s="283"/>
      <c r="H303" s="9" t="s">
        <v>178</v>
      </c>
      <c r="I303" s="416">
        <f>IF('RAPPORTO ISPEZIONE'!I188&lt;&gt;"",'RAPPORTO ISPEZIONE'!I188,"")</f>
        <v>-1.4E-3</v>
      </c>
      <c r="J303" s="302"/>
      <c r="K303" s="417">
        <f>IF(AND(I303="",J303=""),"",IF(I303="",J303,I303))</f>
        <v>-1.4E-3</v>
      </c>
      <c r="L303" s="420">
        <f>ROUND(AVERAGE(K302,K303,K304),$H$164+2)</f>
        <v>-4.0000000000000002E-4</v>
      </c>
    </row>
    <row r="304" spans="1:31" x14ac:dyDescent="0.25">
      <c r="A304" s="424"/>
      <c r="B304" s="27" t="s">
        <v>333</v>
      </c>
      <c r="C304" s="419">
        <f>IF($O$159="X",IF($H$155="X",IF($O$162="X",IF(E304="F-N",C301/$O$171,C301/($O$171*SQRT(3))),IF($O$161="X",IF(E304="F-F",C301/$O$171,"ERRORE"),IF($O$160="X",C301/$O$171))),IF($O$159="X",IF($H$152="X",IF($O$162="X",IF(E304="F-N",C301/$O$167,C301/($O$167*SQRT(3))),IF($O$161="X",IF(E304="F-F",C301/$O$167,"ERRORE"),IF($O$160="X",C301/$O$167)))))))</f>
        <v>0.57700000000000007</v>
      </c>
      <c r="D304" s="1363"/>
      <c r="E304" s="353" t="str">
        <f>E289</f>
        <v>F-N</v>
      </c>
      <c r="F304" s="1368"/>
      <c r="G304" s="12">
        <f>IF(G303="",G302,G303)</f>
        <v>2.1120000000000001</v>
      </c>
      <c r="H304" s="9" t="s">
        <v>179</v>
      </c>
      <c r="I304" s="416">
        <f>IF('RAPPORTO ISPEZIONE'!I189&lt;&gt;"",'RAPPORTO ISPEZIONE'!I189,"")</f>
        <v>1.5E-3</v>
      </c>
      <c r="J304" s="302"/>
      <c r="K304" s="417">
        <f>IF(AND(I304="",J304=""),"",IF(I304="",J304,I304))</f>
        <v>1.5E-3</v>
      </c>
      <c r="L304" s="33"/>
    </row>
    <row r="305" spans="1:12" x14ac:dyDescent="0.25">
      <c r="A305" s="422" t="s">
        <v>286</v>
      </c>
      <c r="B305" s="9" t="s">
        <v>282</v>
      </c>
      <c r="C305" s="289" t="s">
        <v>1230</v>
      </c>
      <c r="D305" s="9" t="s">
        <v>283</v>
      </c>
      <c r="E305" s="289"/>
      <c r="F305" s="26" t="s">
        <v>284</v>
      </c>
      <c r="G305" s="289"/>
      <c r="H305" s="28" t="s">
        <v>285</v>
      </c>
      <c r="I305" s="289"/>
      <c r="J305" s="7"/>
      <c r="K305" s="7"/>
      <c r="L305" s="423" t="str">
        <f>IF(B293="X",IF((IF(C305="X",1,0)+IF(E305="X",1,0)+IF(G305="X",1,0)+IF(I305="X",1,0))&lt;&gt;1,"ERRORE",""),"")</f>
        <v/>
      </c>
    </row>
    <row r="306" spans="1:12" x14ac:dyDescent="0.25">
      <c r="A306" s="424"/>
      <c r="B306" s="7"/>
      <c r="C306" s="7"/>
      <c r="D306" s="7"/>
      <c r="E306" s="7"/>
      <c r="F306" s="7"/>
      <c r="G306" s="7"/>
      <c r="H306" s="7"/>
      <c r="I306" s="5"/>
      <c r="J306" s="5"/>
      <c r="K306" s="7"/>
      <c r="L306" s="18"/>
    </row>
    <row r="307" spans="1:12" x14ac:dyDescent="0.25">
      <c r="A307" s="424"/>
      <c r="B307" s="7"/>
      <c r="C307" s="7"/>
      <c r="D307" s="7"/>
      <c r="E307" s="7"/>
      <c r="F307" s="7"/>
      <c r="G307" s="7"/>
      <c r="H307" s="7"/>
      <c r="I307" s="7"/>
      <c r="J307" s="7"/>
      <c r="K307" s="7"/>
      <c r="L307" s="18"/>
    </row>
    <row r="308" spans="1:12" x14ac:dyDescent="0.25">
      <c r="A308" s="411" t="s">
        <v>181</v>
      </c>
      <c r="B308" s="289" t="s">
        <v>1230</v>
      </c>
      <c r="C308" s="7"/>
      <c r="D308" s="7"/>
      <c r="E308" s="7"/>
      <c r="F308" s="7"/>
      <c r="G308" s="7"/>
      <c r="H308" s="7"/>
      <c r="I308" s="7"/>
      <c r="J308" s="7"/>
      <c r="K308" s="7"/>
      <c r="L308" s="18"/>
    </row>
    <row r="309" spans="1:12" x14ac:dyDescent="0.25">
      <c r="A309" s="1364" t="s">
        <v>166</v>
      </c>
      <c r="B309" s="1347" t="s">
        <v>167</v>
      </c>
      <c r="C309" s="383">
        <f>IF('RAPPORTO ISPEZIONE'!B191&lt;&gt;"",'RAPPORTO ISPEZIONE'!B191,"")</f>
        <v>57.85</v>
      </c>
      <c r="D309" s="1347" t="s">
        <v>168</v>
      </c>
      <c r="E309" s="383">
        <f>IF('RAPPORTO ISPEZIONE'!C191&lt;&gt;"",'RAPPORTO ISPEZIONE'!C191,"")</f>
        <v>57.77</v>
      </c>
      <c r="F309" s="1347" t="s">
        <v>169</v>
      </c>
      <c r="G309" s="383">
        <f>IF('RAPPORTO ISPEZIONE'!D191&lt;&gt;"",'RAPPORTO ISPEZIONE'!D191,"")</f>
        <v>57.81</v>
      </c>
      <c r="H309" s="1347" t="s">
        <v>174</v>
      </c>
      <c r="I309" s="383">
        <f>IF('RAPPORTO ISPEZIONE'!H190&lt;&gt;"",'RAPPORTO ISPEZIONE'!H190,"")</f>
        <v>0.96</v>
      </c>
      <c r="J309" s="7"/>
      <c r="K309" s="7"/>
      <c r="L309" s="18"/>
    </row>
    <row r="310" spans="1:12" x14ac:dyDescent="0.25">
      <c r="A310" s="1365"/>
      <c r="B310" s="1348"/>
      <c r="C310" s="301"/>
      <c r="D310" s="1348"/>
      <c r="E310" s="301"/>
      <c r="F310" s="1348"/>
      <c r="G310" s="301"/>
      <c r="H310" s="1348"/>
      <c r="I310" s="301"/>
      <c r="J310" s="7"/>
      <c r="K310" s="7"/>
      <c r="L310" s="18"/>
    </row>
    <row r="311" spans="1:12" x14ac:dyDescent="0.25">
      <c r="A311" s="1366"/>
      <c r="B311" s="1349"/>
      <c r="C311" s="12">
        <f>IF(C309="",IF(C310="","",C310),C309)</f>
        <v>57.85</v>
      </c>
      <c r="D311" s="1349"/>
      <c r="E311" s="12">
        <f>IF(E309="",IF(E310="","",E310),E309)</f>
        <v>57.77</v>
      </c>
      <c r="F311" s="1349"/>
      <c r="G311" s="12">
        <f>IF(G309="",IF(G310="","",G310),G309)</f>
        <v>57.81</v>
      </c>
      <c r="H311" s="1349"/>
      <c r="I311" s="12">
        <f>IF(I309="",IF(I310="","",I310),I309)</f>
        <v>0.96</v>
      </c>
      <c r="J311" s="7"/>
      <c r="K311" s="7"/>
      <c r="L311" s="18"/>
    </row>
    <row r="312" spans="1:12" s="3" customFormat="1" x14ac:dyDescent="0.25">
      <c r="A312" s="1364" t="s">
        <v>170</v>
      </c>
      <c r="B312" s="1347" t="s">
        <v>171</v>
      </c>
      <c r="C312" s="383">
        <f>IF('RAPPORTO ISPEZIONE'!B192&lt;&gt;"",'RAPPORTO ISPEZIONE'!B192,"")</f>
        <v>3.2759999999999998</v>
      </c>
      <c r="D312" s="1347" t="s">
        <v>172</v>
      </c>
      <c r="E312" s="383">
        <f>IF('RAPPORTO ISPEZIONE'!C192&lt;&gt;"",'RAPPORTO ISPEZIONE'!C192,"")</f>
        <v>3.3359999999999999</v>
      </c>
      <c r="F312" s="1347" t="s">
        <v>173</v>
      </c>
      <c r="G312" s="383">
        <f>IF('RAPPORTO ISPEZIONE'!D192&lt;&gt;"",'RAPPORTO ISPEZIONE'!D192,"")</f>
        <v>3.27</v>
      </c>
      <c r="H312" s="1347" t="s">
        <v>175</v>
      </c>
      <c r="I312" s="383" t="str">
        <f>IF('RAPPORTO ISPEZIONE'!H192&lt;&gt;"",'RAPPORTO ISPEZIONE'!H192,"")</f>
        <v/>
      </c>
      <c r="J312" s="5"/>
      <c r="K312" s="7"/>
      <c r="L312" s="412"/>
    </row>
    <row r="313" spans="1:12" s="3" customFormat="1" x14ac:dyDescent="0.25">
      <c r="A313" s="1365"/>
      <c r="B313" s="1348"/>
      <c r="C313" s="301"/>
      <c r="D313" s="1348"/>
      <c r="E313" s="301"/>
      <c r="F313" s="1348"/>
      <c r="G313" s="301"/>
      <c r="H313" s="1348"/>
      <c r="I313" s="301"/>
      <c r="J313" s="7"/>
      <c r="K313" s="7"/>
      <c r="L313" s="412"/>
    </row>
    <row r="314" spans="1:12" s="3" customFormat="1" x14ac:dyDescent="0.25">
      <c r="A314" s="1366"/>
      <c r="B314" s="1349"/>
      <c r="C314" s="12">
        <f>IF(C312="",IF(C313="","",C313),C312)</f>
        <v>3.2759999999999998</v>
      </c>
      <c r="D314" s="1349"/>
      <c r="E314" s="12">
        <f>IF(E312="",IF(E313="","",E313),E312)</f>
        <v>3.3359999999999999</v>
      </c>
      <c r="F314" s="1349"/>
      <c r="G314" s="12">
        <f>IF(G312="",IF(G313="","",G313),G312)</f>
        <v>3.27</v>
      </c>
      <c r="H314" s="1349"/>
      <c r="I314" s="12" t="str">
        <f>IF(I312="",IF(I313="","",I313),I312)</f>
        <v/>
      </c>
      <c r="J314" s="7"/>
      <c r="K314" s="7"/>
      <c r="L314" s="412"/>
    </row>
    <row r="315" spans="1:12" s="3" customFormat="1" ht="18" x14ac:dyDescent="0.35">
      <c r="A315" s="20"/>
      <c r="B315" s="347" t="s">
        <v>345</v>
      </c>
      <c r="C315" s="4"/>
      <c r="D315" s="4"/>
      <c r="E315" s="2" t="str">
        <f>IF(OR($H$189="A",$H$189="B",$H$189="C"),IF(OR($H$180="X",$H$183="X"),IF(C320="X",IF($H$146="X",(IF($H$155="X",(IF(AND(C317&lt;$H$194,C317&gt;=$H$193),"SI","NO")),(IF($H$152="X",IF(AND((C317*$O$152/$O$149)&lt;$H$194,(C317*$O$152/$O$149)&gt;=$H$193),"SI","NO"),"ERRORE")))),IF($H$143="X",IF($H$152="X",(IF(AND(C317&lt;$H$194,C317&gt;=$H$193),"SI","NO")),"ERRORE"),"ERRORE")),"NON SERVE"),IF($H$186="X",IF($H$146="X",(IF($H$155="X",(IF(AND(MAX(C314,E314,G314,)&lt;$H$194,MAX(C314,E314,G314)&gt;=$H$193),"SI","NO")),(IF($H$152="X",IF(AND((MAX(C314,E314,G314)*$O$152/$O$149)&lt;$H$194,(MAX(C314,E314,G314)*$O$152/$O$149)&gt;=$H$193),"SI","NO"),"ERRORE")))),IF($H$143="X",IF($H$152="X",(IF(AND(MAX(C314,E314,G314)&lt;$H$194,MAX(C314,E314,G314)&gt;=$H$193),"SI","NO")),"ERRORE"),"ERRORE")))),"NON SERVE")</f>
        <v>NO</v>
      </c>
      <c r="F315" s="347" t="s">
        <v>322</v>
      </c>
      <c r="G315" s="4"/>
      <c r="H315" s="4"/>
      <c r="I315" s="2" t="str">
        <f>IF($H$189="0,2S",IF(OR($H$180="X",$H$183="X"),IF(C320="X",IF($H$146="X",(IF($H$155="X",(IF(AND(C317&lt;0.1*$H$192,C317&gt;=$H$193),"SI","NO")),(IF($H$152="X",IF(AND((C317*$O$152/$O$149)&lt;0.1*$H$192,(C317*$O$152/$O$149)&gt;=$H$193),"SI","NO"),"ERRORE")))),IF($H$143="X",IF($H$152="X",(IF(AND(C317&lt;0.1*$H$192,C317&gt;=$H$193),"SI","NO")),"ERRORE"),"ERRORE")),"NON SERVE"),IF($H$186="X",IF($H$146="X",(IF($H$155="X",(IF(AND(MAX(C314,E314,G314,)&lt;0.1*$H$192,MAX(C314,E314,G314)&gt;=$H$193),"SI","NO")),(IF($H$152="X",IF(AND((MAX(C314,E314,G314)*$O$152/$O$149)&lt;0.1*$H$192,(MAX(C314,E314,G314)*$O$152/$O$149)&gt;=$H$193),"SI","NO"),"ERRORE")))),IF($H$143="X",IF($H$152="X",(IF(AND(MAX(C314,E314,G314)&lt;0.1*$H$192,MAX(C314,E314,G314)&gt;=$H$193),"SI","NO")),"ERRORE"),"ERRORE")))),"NON SERVE")</f>
        <v>NON SERVE</v>
      </c>
      <c r="J315" s="7"/>
      <c r="K315" s="7"/>
      <c r="L315" s="412"/>
    </row>
    <row r="316" spans="1:12" x14ac:dyDescent="0.25">
      <c r="A316" s="1367" t="s">
        <v>8</v>
      </c>
      <c r="B316" s="9" t="s">
        <v>188</v>
      </c>
      <c r="C316" s="414">
        <f>ROUND(AVERAGE(C311,E311,G311),$H$163)</f>
        <v>57.8</v>
      </c>
      <c r="D316" s="7"/>
      <c r="E316" s="7"/>
      <c r="F316" s="351" t="s">
        <v>550</v>
      </c>
      <c r="G316" s="289" t="s">
        <v>470</v>
      </c>
      <c r="H316" s="124" t="s">
        <v>238</v>
      </c>
      <c r="I316" s="356" t="s">
        <v>521</v>
      </c>
      <c r="J316" s="7"/>
      <c r="K316" s="7"/>
      <c r="L316" s="18"/>
    </row>
    <row r="317" spans="1:12" x14ac:dyDescent="0.25">
      <c r="A317" s="1367"/>
      <c r="B317" s="9" t="s">
        <v>189</v>
      </c>
      <c r="C317" s="415">
        <f>ROUND(AVERAGE(C314,E314,G314),$H$162)</f>
        <v>3.29</v>
      </c>
      <c r="D317" s="1363" t="s">
        <v>297</v>
      </c>
      <c r="E317" s="9"/>
      <c r="F317" s="1368" t="s">
        <v>548</v>
      </c>
      <c r="G317" s="383">
        <f>IF('RAPPORTO ISPEZIONE'!F190&lt;&gt;"",IF('RAPPORTO ISPEZIONE'!$G$183=TABELLE!$B$177,'RAPPORTO ISPEZIONE'!F190/1000,IF('RAPPORTO ISPEZIONE'!$G$183=TABELLE!$B$178,'RAPPORTO ISPEZIONE'!F190,IF('RAPPORTO ISPEZIONE'!$G$183=TABELLE!$B$179,'RAPPORTO ISPEZIONE'!F190*1000))),"")</f>
        <v>2.113</v>
      </c>
      <c r="H317" s="9" t="s">
        <v>177</v>
      </c>
      <c r="I317" s="416">
        <f>IF('RAPPORTO ISPEZIONE'!I190&lt;&gt;"",'RAPPORTO ISPEZIONE'!I190,"")</f>
        <v>1.6000000000000001E-3</v>
      </c>
      <c r="J317" s="302"/>
      <c r="K317" s="417">
        <f>IF(AND(I317="",J317=""),"",IF(I317="",J317,I317))</f>
        <v>1.6000000000000001E-3</v>
      </c>
      <c r="L317" s="33" t="s">
        <v>191</v>
      </c>
    </row>
    <row r="318" spans="1:12" x14ac:dyDescent="0.25">
      <c r="A318" s="1367"/>
      <c r="B318" s="418" t="s">
        <v>332</v>
      </c>
      <c r="C318" s="419">
        <f>IF($O$141="X",IF($H$155="X",IF(C320="X",C317/$O$152,IF(E320="X",C314/$O$152,IF(G320="X",E314/$O$152,IF(I320="X",G314/$O$152,"ERRORE")))),IF($H$152="X",IF(C320="X",C317/$O$149,IF(E320="X",C314/$O$149,IF(G320="X",E314/$O$149,IF(I320="X",G314/$O$149,"ERRORE")))))),"NON SERVE")</f>
        <v>0.65800000000000003</v>
      </c>
      <c r="D318" s="1363"/>
      <c r="E318" s="9"/>
      <c r="F318" s="1368"/>
      <c r="G318" s="283"/>
      <c r="H318" s="9" t="s">
        <v>178</v>
      </c>
      <c r="I318" s="416">
        <f>IF('RAPPORTO ISPEZIONE'!I191&lt;&gt;"",'RAPPORTO ISPEZIONE'!I191,"")</f>
        <v>1.6999999999999999E-3</v>
      </c>
      <c r="J318" s="302"/>
      <c r="K318" s="417">
        <f>IF(AND(I318="",J318=""),"",IF(I318="",J318,I318))</f>
        <v>1.6999999999999999E-3</v>
      </c>
      <c r="L318" s="420">
        <f>ROUND(AVERAGE(K317,K318,K319),$H$164+2)</f>
        <v>1.6999999999999999E-3</v>
      </c>
    </row>
    <row r="319" spans="1:12" x14ac:dyDescent="0.25">
      <c r="A319" s="424"/>
      <c r="B319" s="27" t="s">
        <v>333</v>
      </c>
      <c r="C319" s="419">
        <f>IF($O$159="X",IF($H$155="X",IF($O$162="X",IF(E319="F-N",C316/$O$171,C316/($O$171*SQRT(3))),IF($O$161="X",IF(E319="F-F",C316/$O$171,"ERRORE"),IF($O$160="X",C316/$O$171))),IF($O$159="X",IF($H$152="X",IF($O$162="X",IF(E319="F-N",C316/$O$167,C316/($O$167*SQRT(3))),IF($O$161="X",IF(E319="F-F",C316/$O$167,"ERRORE"),IF($O$160="X",C316/$O$167)))))))</f>
        <v>0.57799999999999996</v>
      </c>
      <c r="D319" s="1363"/>
      <c r="E319" s="353" t="str">
        <f>E304</f>
        <v>F-N</v>
      </c>
      <c r="F319" s="1368"/>
      <c r="G319" s="12">
        <f>IF(G318="",G317,G318)</f>
        <v>2.113</v>
      </c>
      <c r="H319" s="9" t="s">
        <v>179</v>
      </c>
      <c r="I319" s="416">
        <f>IF('RAPPORTO ISPEZIONE'!I192&lt;&gt;"",'RAPPORTO ISPEZIONE'!I192,"")</f>
        <v>1.8E-3</v>
      </c>
      <c r="J319" s="302"/>
      <c r="K319" s="417">
        <f>IF(AND(I319="",J319=""),"",IF(I319="",J319,I319))</f>
        <v>1.8E-3</v>
      </c>
      <c r="L319" s="33"/>
    </row>
    <row r="320" spans="1:12" x14ac:dyDescent="0.25">
      <c r="A320" s="422" t="s">
        <v>286</v>
      </c>
      <c r="B320" s="9" t="s">
        <v>282</v>
      </c>
      <c r="C320" s="289" t="s">
        <v>1230</v>
      </c>
      <c r="D320" s="9" t="s">
        <v>283</v>
      </c>
      <c r="E320" s="289"/>
      <c r="F320" s="26" t="s">
        <v>284</v>
      </c>
      <c r="G320" s="289"/>
      <c r="H320" s="28" t="s">
        <v>285</v>
      </c>
      <c r="I320" s="289"/>
      <c r="J320" s="7"/>
      <c r="K320" s="7"/>
      <c r="L320" s="423" t="str">
        <f>IF(B308="X",IF((IF(C320="X",1,0)+IF(E320="X",1,0)+IF(G320="X",1,0)+IF(I320="X",1,0))&lt;&gt;1,"ERRORE",""),"")</f>
        <v/>
      </c>
    </row>
    <row r="321" spans="1:12" x14ac:dyDescent="0.25">
      <c r="A321" s="424"/>
      <c r="B321" s="7"/>
      <c r="C321" s="7"/>
      <c r="D321" s="7"/>
      <c r="E321" s="7"/>
      <c r="F321" s="7"/>
      <c r="G321" s="7"/>
      <c r="H321" s="7"/>
      <c r="I321" s="7"/>
      <c r="J321" s="7"/>
      <c r="K321" s="7"/>
      <c r="L321" s="18"/>
    </row>
    <row r="322" spans="1:12" x14ac:dyDescent="0.25">
      <c r="A322" s="427"/>
      <c r="B322" s="5"/>
      <c r="C322" s="7"/>
      <c r="D322" s="30"/>
      <c r="E322" s="30"/>
      <c r="F322" s="7"/>
      <c r="G322" s="428"/>
      <c r="H322" s="7"/>
      <c r="I322" s="7"/>
      <c r="J322" s="7"/>
      <c r="K322" s="7"/>
      <c r="L322" s="18"/>
    </row>
    <row r="323" spans="1:12" x14ac:dyDescent="0.25">
      <c r="A323" s="411" t="s">
        <v>182</v>
      </c>
      <c r="B323" s="289" t="s">
        <v>1230</v>
      </c>
      <c r="C323" s="7"/>
      <c r="D323" s="7"/>
      <c r="E323" s="7"/>
      <c r="F323" s="7"/>
      <c r="G323" s="7"/>
      <c r="H323" s="7"/>
      <c r="I323" s="7"/>
      <c r="J323" s="7"/>
      <c r="K323" s="7"/>
      <c r="L323" s="18"/>
    </row>
    <row r="324" spans="1:12" x14ac:dyDescent="0.25">
      <c r="A324" s="1364" t="s">
        <v>166</v>
      </c>
      <c r="B324" s="1347" t="s">
        <v>167</v>
      </c>
      <c r="C324" s="383">
        <f>IF('RAPPORTO ISPEZIONE'!B194&lt;&gt;"",'RAPPORTO ISPEZIONE'!B194,"")</f>
        <v>57.7</v>
      </c>
      <c r="D324" s="1347" t="s">
        <v>168</v>
      </c>
      <c r="E324" s="383">
        <f>IF('RAPPORTO ISPEZIONE'!C194&lt;&gt;"",'RAPPORTO ISPEZIONE'!C194,"")</f>
        <v>57.7</v>
      </c>
      <c r="F324" s="1347" t="s">
        <v>169</v>
      </c>
      <c r="G324" s="383">
        <f>IF('RAPPORTO ISPEZIONE'!D194&lt;&gt;"",'RAPPORTO ISPEZIONE'!D194,"")</f>
        <v>57.77</v>
      </c>
      <c r="H324" s="1347" t="s">
        <v>174</v>
      </c>
      <c r="I324" s="383">
        <f>IF('RAPPORTO ISPEZIONE'!H193&lt;&gt;"",'RAPPORTO ISPEZIONE'!H193,"")</f>
        <v>0.97</v>
      </c>
      <c r="J324" s="7"/>
      <c r="K324" s="7"/>
      <c r="L324" s="18"/>
    </row>
    <row r="325" spans="1:12" x14ac:dyDescent="0.25">
      <c r="A325" s="1365"/>
      <c r="B325" s="1348"/>
      <c r="C325" s="301"/>
      <c r="D325" s="1348"/>
      <c r="E325" s="301"/>
      <c r="F325" s="1348"/>
      <c r="G325" s="301"/>
      <c r="H325" s="1348"/>
      <c r="I325" s="301"/>
      <c r="J325" s="7"/>
      <c r="K325" s="7"/>
      <c r="L325" s="18"/>
    </row>
    <row r="326" spans="1:12" x14ac:dyDescent="0.25">
      <c r="A326" s="1366"/>
      <c r="B326" s="1349"/>
      <c r="C326" s="12">
        <f>IF(C324="",IF(C325="","",C325),C324)</f>
        <v>57.7</v>
      </c>
      <c r="D326" s="1349"/>
      <c r="E326" s="12">
        <f>IF(E324="",IF(E325="","",E325),E324)</f>
        <v>57.7</v>
      </c>
      <c r="F326" s="1349"/>
      <c r="G326" s="12">
        <f>IF(G324="",IF(G325="","",G325),G324)</f>
        <v>57.77</v>
      </c>
      <c r="H326" s="1349"/>
      <c r="I326" s="12">
        <f>IF(I324="",IF(I325="","",I325),I324)</f>
        <v>0.97</v>
      </c>
      <c r="J326" s="7"/>
      <c r="K326" s="7"/>
      <c r="L326" s="18"/>
    </row>
    <row r="327" spans="1:12" s="3" customFormat="1" x14ac:dyDescent="0.25">
      <c r="A327" s="1364" t="s">
        <v>170</v>
      </c>
      <c r="B327" s="1347" t="s">
        <v>171</v>
      </c>
      <c r="C327" s="383">
        <f>IF('RAPPORTO ISPEZIONE'!B195&lt;&gt;"",'RAPPORTO ISPEZIONE'!B195,"")</f>
        <v>3.286</v>
      </c>
      <c r="D327" s="1347" t="s">
        <v>172</v>
      </c>
      <c r="E327" s="383">
        <f>IF('RAPPORTO ISPEZIONE'!C195&lt;&gt;"",'RAPPORTO ISPEZIONE'!C195,"")</f>
        <v>3.3319999999999999</v>
      </c>
      <c r="F327" s="1347" t="s">
        <v>173</v>
      </c>
      <c r="G327" s="383">
        <f>IF('RAPPORTO ISPEZIONE'!D195&lt;&gt;"",'RAPPORTO ISPEZIONE'!D195,"")</f>
        <v>3.2690000000000001</v>
      </c>
      <c r="H327" s="1347" t="s">
        <v>175</v>
      </c>
      <c r="I327" s="383" t="str">
        <f>IF('RAPPORTO ISPEZIONE'!H195&lt;&gt;"",'RAPPORTO ISPEZIONE'!H195,"")</f>
        <v/>
      </c>
      <c r="J327" s="5"/>
      <c r="K327" s="7"/>
      <c r="L327" s="412"/>
    </row>
    <row r="328" spans="1:12" s="3" customFormat="1" x14ac:dyDescent="0.25">
      <c r="A328" s="1365"/>
      <c r="B328" s="1348"/>
      <c r="C328" s="301"/>
      <c r="D328" s="1348"/>
      <c r="E328" s="301"/>
      <c r="F328" s="1348"/>
      <c r="G328" s="301"/>
      <c r="H328" s="1348"/>
      <c r="I328" s="301"/>
      <c r="J328" s="7"/>
      <c r="K328" s="7"/>
      <c r="L328" s="412"/>
    </row>
    <row r="329" spans="1:12" s="3" customFormat="1" x14ac:dyDescent="0.25">
      <c r="A329" s="1366"/>
      <c r="B329" s="1349"/>
      <c r="C329" s="12">
        <f>IF(C327="",IF(C328="","",C328),C327)</f>
        <v>3.286</v>
      </c>
      <c r="D329" s="1349"/>
      <c r="E329" s="12">
        <f>IF(E327="",IF(E328="","",E328),E327)</f>
        <v>3.3319999999999999</v>
      </c>
      <c r="F329" s="1349"/>
      <c r="G329" s="12">
        <f>IF(G327="",IF(G328="","",G328),G327)</f>
        <v>3.2690000000000001</v>
      </c>
      <c r="H329" s="1349"/>
      <c r="I329" s="12" t="str">
        <f>IF(I327="",IF(I328="","",I328),I327)</f>
        <v/>
      </c>
      <c r="J329" s="7"/>
      <c r="K329" s="7"/>
      <c r="L329" s="412"/>
    </row>
    <row r="330" spans="1:12" s="3" customFormat="1" ht="18" x14ac:dyDescent="0.35">
      <c r="A330" s="20"/>
      <c r="B330" s="347" t="s">
        <v>345</v>
      </c>
      <c r="C330" s="4"/>
      <c r="D330" s="4"/>
      <c r="E330" s="2" t="str">
        <f>IF(OR($H$189="A",$H$189="B",$H$189="C"),IF(OR($H$180="X",$H$183="X"),IF(C335="X",IF($H$146="X",(IF($H$155="X",(IF(AND(C332&lt;$H$194,C332&gt;=$H$193),"SI","NO")),(IF($H$152="X",IF(AND((C332*$O$152/$O$149)&lt;$H$194,(C332*$O$152/$O$149)&gt;=$H$193),"SI","NO"),"ERRORE")))),IF($H$143="X",IF($H$152="X",(IF(AND(C332&lt;$H$194,C332&gt;=$H$193),"SI","NO")),"ERRORE"),"ERRORE")),"NON SERVE"),IF($H$186="X",IF($H$146="X",(IF($H$155="X",(IF(AND(MAX(C329,E329,G329,)&lt;$H$194,MAX(C329,E329,G329)&gt;=$H$193),"SI","NO")),(IF($H$152="X",IF(AND((MAX(C329,E329,G329)*$O$152/$O$149)&lt;$H$194,(MAX(C329,E329,G329)*$O$152/$O$149)&gt;=$H$193),"SI","NO"),"ERRORE")))),IF($H$143="X",IF($H$152="X",(IF(AND(MAX(C329,E329,G329)&lt;$H$194,MAX(C329,E329,G329)&gt;=$H$193),"SI","NO")),"ERRORE"),"ERRORE")))),"NON SERVE")</f>
        <v>NO</v>
      </c>
      <c r="F330" s="347" t="s">
        <v>322</v>
      </c>
      <c r="G330" s="4"/>
      <c r="H330" s="4"/>
      <c r="I330" s="2" t="str">
        <f>IF($H$189="0,2S",IF(OR($H$180="X",$H$183="X"),IF(C335="X",IF($H$146="X",(IF($H$155="X",(IF(AND(C332&lt;0.1*$H$192,C332&gt;=$H$193),"SI","NO")),(IF($H$152="X",IF(AND((C332*$O$152/$O$149)&lt;0.1*$H$192,(C332*$O$152/$O$149)&gt;=$H$193),"SI","NO"),"ERRORE")))),IF($H$143="X",IF($H$152="X",(IF(AND(C332&lt;0.1*$H$192,C332&gt;=$H$193),"SI","NO")),"ERRORE"),"ERRORE")),"NON SERVE"),IF($H$186="X",IF($H$146="X",(IF($H$155="X",(IF(AND(MAX(C329,E329,G329,)&lt;0.1*$H$192,MAX(C329,E329,G329)&gt;=$H$193),"SI","NO")),(IF($H$152="X",IF(AND((MAX(C329,E329,G329)*$O$152/$O$149)&lt;0.1*$H$192,(MAX(C329,E329,G329)*$O$152/$O$149)&gt;=$H$193),"SI","NO"),"ERRORE")))),IF($H$143="X",IF($H$152="X",(IF(AND(MAX(C329,E329,G329)&lt;0.1*$H$192,MAX(C329,E329,G329)&gt;=$H$193),"SI","NO")),"ERRORE"),"ERRORE")))),"NON SERVE")</f>
        <v>NON SERVE</v>
      </c>
      <c r="J330" s="7"/>
      <c r="K330" s="7"/>
      <c r="L330" s="412"/>
    </row>
    <row r="331" spans="1:12" x14ac:dyDescent="0.25">
      <c r="A331" s="1367" t="s">
        <v>8</v>
      </c>
      <c r="B331" s="9" t="s">
        <v>188</v>
      </c>
      <c r="C331" s="414">
        <f>ROUND(AVERAGE(C326,E326,G326),$H$163)</f>
        <v>57.7</v>
      </c>
      <c r="D331" s="7"/>
      <c r="E331" s="7"/>
      <c r="F331" s="351" t="s">
        <v>550</v>
      </c>
      <c r="G331" s="289" t="s">
        <v>469</v>
      </c>
      <c r="H331" s="124" t="s">
        <v>238</v>
      </c>
      <c r="I331" s="356" t="s">
        <v>521</v>
      </c>
      <c r="J331" s="7"/>
      <c r="K331" s="7"/>
      <c r="L331" s="18"/>
    </row>
    <row r="332" spans="1:12" x14ac:dyDescent="0.25">
      <c r="A332" s="1367"/>
      <c r="B332" s="9" t="s">
        <v>189</v>
      </c>
      <c r="C332" s="415">
        <f>ROUND(AVERAGE(C329,E329,G329),$H$162)</f>
        <v>3.3</v>
      </c>
      <c r="D332" s="1363" t="s">
        <v>297</v>
      </c>
      <c r="E332" s="9"/>
      <c r="F332" s="1368" t="s">
        <v>548</v>
      </c>
      <c r="G332" s="383">
        <f>IF('RAPPORTO ISPEZIONE'!F193&lt;&gt;"",IF('RAPPORTO ISPEZIONE'!$G$183=TABELLE!$B$177,'RAPPORTO ISPEZIONE'!F193/1000,IF('RAPPORTO ISPEZIONE'!$G$183=TABELLE!$B$178,'RAPPORTO ISPEZIONE'!F193,IF('RAPPORTO ISPEZIONE'!$G$183=TABELLE!$B$179,'RAPPORTO ISPEZIONE'!F193*1000))),"")</f>
        <v>2.1139999999999999</v>
      </c>
      <c r="H332" s="9" t="s">
        <v>177</v>
      </c>
      <c r="I332" s="416">
        <f>IF('RAPPORTO ISPEZIONE'!I193&lt;&gt;"",'RAPPORTO ISPEZIONE'!I193,"")</f>
        <v>-1.9E-3</v>
      </c>
      <c r="J332" s="302"/>
      <c r="K332" s="417">
        <f>IF(AND(I332="",J332=""),"",IF(I332="",J332,I332))</f>
        <v>-1.9E-3</v>
      </c>
      <c r="L332" s="33" t="s">
        <v>191</v>
      </c>
    </row>
    <row r="333" spans="1:12" x14ac:dyDescent="0.25">
      <c r="A333" s="1367"/>
      <c r="B333" s="418" t="s">
        <v>332</v>
      </c>
      <c r="C333" s="419">
        <f>IF($O$141="X",IF($H$155="X",IF(C335="X",C332/$O$152,IF(E335="X",C329/$O$152,IF(G335="X",E329/$O$152,IF(I335="X",G329/$O$152,"ERRORE")))),IF($H$152="X",IF(C335="X",C332/$O$149,IF(E335="X",C329/$O$149,IF(G335="X",E329/$O$149,IF(I335="X",G329/$O$149,"ERRORE")))))),"NON SERVE")</f>
        <v>0.65999999999999992</v>
      </c>
      <c r="D333" s="1363"/>
      <c r="E333" s="9"/>
      <c r="F333" s="1368"/>
      <c r="G333" s="283"/>
      <c r="H333" s="9" t="s">
        <v>178</v>
      </c>
      <c r="I333" s="416">
        <f>IF('RAPPORTO ISPEZIONE'!I194&lt;&gt;"",'RAPPORTO ISPEZIONE'!I194,"")</f>
        <v>2E-3</v>
      </c>
      <c r="J333" s="302"/>
      <c r="K333" s="417">
        <f>IF(AND(I333="",J333=""),"",IF(I333="",J333,I333))</f>
        <v>2E-3</v>
      </c>
      <c r="L333" s="420">
        <f>ROUND(AVERAGE(K332,K333,K334),$H$164+2)</f>
        <v>-6.7000000000000002E-4</v>
      </c>
    </row>
    <row r="334" spans="1:12" x14ac:dyDescent="0.25">
      <c r="A334" s="424"/>
      <c r="B334" s="27" t="s">
        <v>333</v>
      </c>
      <c r="C334" s="419">
        <f>IF($O$159="X",IF($H$155="X",IF($O$162="X",IF(E334="F-N",C331/$O$171,C331/($O$171*SQRT(3))),IF($O$161="X",IF(E334="F-F",C331/$O$171,"ERRORE"),IF($O$160="X",C331/$O$171))),IF($O$159="X",IF($H$152="X",IF($O$162="X",IF(E334="F-N",C331/$O$167,C331/($O$167*SQRT(3))),IF($O$161="X",IF(E334="F-F",C331/$O$167,"ERRORE"),IF($O$160="X",C331/$O$167)))))))</f>
        <v>0.57700000000000007</v>
      </c>
      <c r="D334" s="1363"/>
      <c r="E334" s="353" t="str">
        <f>E319</f>
        <v>F-N</v>
      </c>
      <c r="F334" s="1368"/>
      <c r="G334" s="12">
        <f>IF(G333="",G332,G333)</f>
        <v>2.1139999999999999</v>
      </c>
      <c r="H334" s="9" t="s">
        <v>179</v>
      </c>
      <c r="I334" s="416">
        <f>IF('RAPPORTO ISPEZIONE'!I195&lt;&gt;"",'RAPPORTO ISPEZIONE'!I195,"")</f>
        <v>-2.0999999999999999E-3</v>
      </c>
      <c r="J334" s="302"/>
      <c r="K334" s="417">
        <f>IF(AND(I334="",J334=""),"",IF(I334="",J334,I334))</f>
        <v>-2.0999999999999999E-3</v>
      </c>
      <c r="L334" s="33"/>
    </row>
    <row r="335" spans="1:12" x14ac:dyDescent="0.25">
      <c r="A335" s="422" t="s">
        <v>286</v>
      </c>
      <c r="B335" s="9" t="s">
        <v>282</v>
      </c>
      <c r="C335" s="289" t="s">
        <v>1230</v>
      </c>
      <c r="D335" s="9" t="s">
        <v>283</v>
      </c>
      <c r="E335" s="289"/>
      <c r="F335" s="26" t="s">
        <v>284</v>
      </c>
      <c r="G335" s="289"/>
      <c r="H335" s="28" t="s">
        <v>285</v>
      </c>
      <c r="I335" s="289"/>
      <c r="J335" s="7"/>
      <c r="K335" s="7"/>
      <c r="L335" s="423" t="str">
        <f>IF(B323="X",IF((IF(C335="X",1,0)+IF(E335="X",1,0)+IF(G335="X",1,0)+IF(I335="X",1,0))&lt;&gt;1,"ERRORE",""),"")</f>
        <v/>
      </c>
    </row>
    <row r="336" spans="1:12" x14ac:dyDescent="0.25">
      <c r="A336" s="424"/>
      <c r="B336" s="7"/>
      <c r="C336" s="7"/>
      <c r="D336" s="7"/>
      <c r="E336" s="7"/>
      <c r="F336" s="7"/>
      <c r="G336" s="7"/>
      <c r="H336" s="7"/>
      <c r="I336" s="7"/>
      <c r="J336" s="7"/>
      <c r="K336" s="7"/>
      <c r="L336" s="18"/>
    </row>
    <row r="337" spans="1:12" x14ac:dyDescent="0.25">
      <c r="A337" s="424"/>
      <c r="B337" s="7"/>
      <c r="C337" s="7"/>
      <c r="D337" s="7"/>
      <c r="E337" s="7"/>
      <c r="F337" s="7"/>
      <c r="G337" s="7"/>
      <c r="H337" s="7"/>
      <c r="I337" s="7"/>
      <c r="J337" s="7"/>
      <c r="K337" s="7"/>
      <c r="L337" s="18"/>
    </row>
    <row r="338" spans="1:12" x14ac:dyDescent="0.25">
      <c r="A338" s="411" t="s">
        <v>183</v>
      </c>
      <c r="B338" s="289" t="s">
        <v>1230</v>
      </c>
      <c r="C338" s="7"/>
      <c r="D338" s="7"/>
      <c r="E338" s="7"/>
      <c r="F338" s="7"/>
      <c r="G338" s="7"/>
      <c r="H338" s="7"/>
      <c r="I338" s="7"/>
      <c r="J338" s="7"/>
      <c r="K338" s="7"/>
      <c r="L338" s="18"/>
    </row>
    <row r="339" spans="1:12" x14ac:dyDescent="0.25">
      <c r="A339" s="1364" t="s">
        <v>166</v>
      </c>
      <c r="B339" s="1347" t="s">
        <v>167</v>
      </c>
      <c r="C339" s="383">
        <f>IF('RAPPORTO ISPEZIONE'!B197&lt;&gt;"",'RAPPORTO ISPEZIONE'!B197,"")</f>
        <v>57.7</v>
      </c>
      <c r="D339" s="1347" t="s">
        <v>168</v>
      </c>
      <c r="E339" s="383">
        <f>IF('RAPPORTO ISPEZIONE'!C197&lt;&gt;"",'RAPPORTO ISPEZIONE'!C197,"")</f>
        <v>57.7</v>
      </c>
      <c r="F339" s="1347" t="s">
        <v>169</v>
      </c>
      <c r="G339" s="383">
        <f>IF('RAPPORTO ISPEZIONE'!D197&lt;&gt;"",'RAPPORTO ISPEZIONE'!D197,"")</f>
        <v>57.77</v>
      </c>
      <c r="H339" s="1347" t="s">
        <v>174</v>
      </c>
      <c r="I339" s="383">
        <f>IF('RAPPORTO ISPEZIONE'!H196&lt;&gt;"",'RAPPORTO ISPEZIONE'!H196,"")</f>
        <v>0.98</v>
      </c>
      <c r="J339" s="7"/>
      <c r="K339" s="7"/>
      <c r="L339" s="18"/>
    </row>
    <row r="340" spans="1:12" x14ac:dyDescent="0.25">
      <c r="A340" s="1365"/>
      <c r="B340" s="1348"/>
      <c r="C340" s="301"/>
      <c r="D340" s="1348"/>
      <c r="E340" s="301"/>
      <c r="F340" s="1348"/>
      <c r="G340" s="301"/>
      <c r="H340" s="1348"/>
      <c r="I340" s="301"/>
      <c r="J340" s="7"/>
      <c r="K340" s="7"/>
      <c r="L340" s="18"/>
    </row>
    <row r="341" spans="1:12" x14ac:dyDescent="0.25">
      <c r="A341" s="1366"/>
      <c r="B341" s="1349"/>
      <c r="C341" s="12">
        <f>IF(C339="",IF(C340="","",C340),C339)</f>
        <v>57.7</v>
      </c>
      <c r="D341" s="1349"/>
      <c r="E341" s="12">
        <f>IF(E339="",IF(E340="","",E340),E339)</f>
        <v>57.7</v>
      </c>
      <c r="F341" s="1349"/>
      <c r="G341" s="12">
        <f>IF(G339="",IF(G340="","",G340),G339)</f>
        <v>57.77</v>
      </c>
      <c r="H341" s="1349"/>
      <c r="I341" s="12">
        <f>IF(I339="",IF(I340="","",I340),I339)</f>
        <v>0.98</v>
      </c>
      <c r="J341" s="7"/>
      <c r="K341" s="7"/>
      <c r="L341" s="18"/>
    </row>
    <row r="342" spans="1:12" s="3" customFormat="1" x14ac:dyDescent="0.25">
      <c r="A342" s="1364" t="s">
        <v>170</v>
      </c>
      <c r="B342" s="1347" t="s">
        <v>171</v>
      </c>
      <c r="C342" s="383">
        <f>IF('RAPPORTO ISPEZIONE'!B198&lt;&gt;"",'RAPPORTO ISPEZIONE'!B198,"")</f>
        <v>3.286</v>
      </c>
      <c r="D342" s="1347" t="s">
        <v>172</v>
      </c>
      <c r="E342" s="383">
        <f>IF('RAPPORTO ISPEZIONE'!C198&lt;&gt;"",'RAPPORTO ISPEZIONE'!C198,"")</f>
        <v>3.3319999999999999</v>
      </c>
      <c r="F342" s="1347" t="s">
        <v>173</v>
      </c>
      <c r="G342" s="383">
        <f>IF('RAPPORTO ISPEZIONE'!D198&lt;&gt;"",'RAPPORTO ISPEZIONE'!D198,"")</f>
        <v>3.2690000000000001</v>
      </c>
      <c r="H342" s="1347" t="s">
        <v>175</v>
      </c>
      <c r="I342" s="383" t="str">
        <f>IF('RAPPORTO ISPEZIONE'!H198&lt;&gt;"",'RAPPORTO ISPEZIONE'!H198,"")</f>
        <v/>
      </c>
      <c r="J342" s="5"/>
      <c r="K342" s="7"/>
      <c r="L342" s="412"/>
    </row>
    <row r="343" spans="1:12" s="3" customFormat="1" x14ac:dyDescent="0.25">
      <c r="A343" s="1365"/>
      <c r="B343" s="1348"/>
      <c r="C343" s="301"/>
      <c r="D343" s="1348"/>
      <c r="E343" s="301"/>
      <c r="F343" s="1348"/>
      <c r="G343" s="301"/>
      <c r="H343" s="1348"/>
      <c r="I343" s="301"/>
      <c r="J343" s="7"/>
      <c r="K343" s="7"/>
      <c r="L343" s="412"/>
    </row>
    <row r="344" spans="1:12" s="3" customFormat="1" x14ac:dyDescent="0.25">
      <c r="A344" s="1366"/>
      <c r="B344" s="1349"/>
      <c r="C344" s="12">
        <f>IF(C342="",IF(C343="","",C343),C342)</f>
        <v>3.286</v>
      </c>
      <c r="D344" s="1349"/>
      <c r="E344" s="12">
        <f>IF(E342="",IF(E343="","",E343),E342)</f>
        <v>3.3319999999999999</v>
      </c>
      <c r="F344" s="1349"/>
      <c r="G344" s="12">
        <f>IF(G342="",IF(G343="","",G343),G342)</f>
        <v>3.2690000000000001</v>
      </c>
      <c r="H344" s="1349"/>
      <c r="I344" s="12" t="str">
        <f>IF(I342="",IF(I343="","",I343),I342)</f>
        <v/>
      </c>
      <c r="J344" s="7"/>
      <c r="K344" s="7"/>
      <c r="L344" s="412"/>
    </row>
    <row r="345" spans="1:12" s="3" customFormat="1" ht="18" x14ac:dyDescent="0.35">
      <c r="A345" s="20"/>
      <c r="B345" s="347" t="s">
        <v>345</v>
      </c>
      <c r="C345" s="4"/>
      <c r="D345" s="4"/>
      <c r="E345" s="2" t="str">
        <f>IF(OR($H$189="A",$H$189="B",$H$189="C"),IF(OR($H$180="X",$H$183="X"),IF(C350="X",IF($H$146="X",(IF($H$155="X",(IF(AND(C347&lt;$H$194,C347&gt;=$H$193),"SI","NO")),(IF($H$152="X",IF(AND((C347*$O$152/$O$149)&lt;$H$194,(C347*$O$152/$O$149)&gt;=$H$193),"SI","NO"),"ERRORE")))),IF($H$143="X",IF($H$152="X",(IF(AND(C347&lt;$H$194,C347&gt;=$H$193),"SI","NO")),"ERRORE"),"ERRORE")),"NON SERVE"),IF($H$186="X",IF($H$146="X",(IF($H$155="X",(IF(AND(MAX(C344,E344,G344,)&lt;$H$194,MAX(C344,E344,G344)&gt;=$H$193),"SI","NO")),(IF($H$152="X",IF(AND((MAX(C344,E344,G344)*$O$152/$O$149)&lt;$H$194,(MAX(C344,E344,G344)*$O$152/$O$149)&gt;=$H$193),"SI","NO"),"ERRORE")))),IF($H$143="X",IF($H$152="X",(IF(AND(MAX(C344,E344,G344)&lt;$H$194,MAX(C344,E344,G344)&gt;=$H$193),"SI","NO")),"ERRORE"),"ERRORE")))),"NON SERVE")</f>
        <v>NO</v>
      </c>
      <c r="F345" s="347" t="s">
        <v>322</v>
      </c>
      <c r="G345" s="4"/>
      <c r="H345" s="4"/>
      <c r="I345" s="2" t="str">
        <f>IF($H$189="0,2S",IF(OR($H$180="X",$H$183="X"),IF(C350="X",IF($H$146="X",(IF($H$155="X",(IF(AND(C347&lt;0.1*$H$192,C347&gt;=$H$193),"SI","NO")),(IF($H$152="X",IF(AND((C347*$O$152/$O$149)&lt;0.1*$H$192,(C347*$O$152/$O$149)&gt;=$H$193),"SI","NO"),"ERRORE")))),IF($H$143="X",IF($H$152="X",(IF(AND(C347&lt;0.1*$H$192,C347&gt;=$H$193),"SI","NO")),"ERRORE"),"ERRORE")),"NON SERVE"),IF($H$186="X",IF($H$146="X",(IF($H$155="X",(IF(AND(MAX(C344,E344,G344,)&lt;0.1*$H$192,MAX(C344,E344,G344)&gt;=$H$193),"SI","NO")),(IF($H$152="X",IF(AND((MAX(C344,E344,G344)*$O$152/$O$149)&lt;0.1*$H$192,(MAX(C344,E344,G344)*$O$152/$O$149)&gt;=$H$193),"SI","NO"),"ERRORE")))),IF($H$143="X",IF($H$152="X",(IF(AND(MAX(C344,E344,G344)&lt;0.1*$H$192,MAX(C344,E344,G344)&gt;=$H$193),"SI","NO")),"ERRORE"),"ERRORE")))),"NON SERVE")</f>
        <v>NON SERVE</v>
      </c>
      <c r="J345" s="7"/>
      <c r="K345" s="7"/>
      <c r="L345" s="412"/>
    </row>
    <row r="346" spans="1:12" x14ac:dyDescent="0.25">
      <c r="A346" s="1367" t="s">
        <v>8</v>
      </c>
      <c r="B346" s="9" t="s">
        <v>188</v>
      </c>
      <c r="C346" s="414">
        <f>ROUND(AVERAGE(C341,E341,G341),$H$163)</f>
        <v>57.7</v>
      </c>
      <c r="D346" s="7"/>
      <c r="E346" s="7"/>
      <c r="F346" s="351" t="s">
        <v>550</v>
      </c>
      <c r="G346" s="289" t="s">
        <v>470</v>
      </c>
      <c r="H346" s="124" t="s">
        <v>238</v>
      </c>
      <c r="I346" s="356" t="s">
        <v>521</v>
      </c>
      <c r="J346" s="7"/>
      <c r="K346" s="7"/>
      <c r="L346" s="18"/>
    </row>
    <row r="347" spans="1:12" x14ac:dyDescent="0.25">
      <c r="A347" s="1367"/>
      <c r="B347" s="9" t="s">
        <v>189</v>
      </c>
      <c r="C347" s="415">
        <f>ROUND(AVERAGE(C344,E344,G344),$H$162)</f>
        <v>3.3</v>
      </c>
      <c r="D347" s="1363" t="s">
        <v>297</v>
      </c>
      <c r="E347" s="9"/>
      <c r="F347" s="1368" t="s">
        <v>548</v>
      </c>
      <c r="G347" s="383">
        <f>IF('RAPPORTO ISPEZIONE'!F196&lt;&gt;"",IF('RAPPORTO ISPEZIONE'!$G$183=TABELLE!$B$177,'RAPPORTO ISPEZIONE'!F196/1000,IF('RAPPORTO ISPEZIONE'!$G$183=TABELLE!$B$178,'RAPPORTO ISPEZIONE'!F196,IF('RAPPORTO ISPEZIONE'!$G$183=TABELLE!$B$179,'RAPPORTO ISPEZIONE'!F196*1000))),"")</f>
        <v>2.1150000000000002</v>
      </c>
      <c r="H347" s="9" t="s">
        <v>177</v>
      </c>
      <c r="I347" s="416">
        <f>IF('RAPPORTO ISPEZIONE'!I196&lt;&gt;"",'RAPPORTO ISPEZIONE'!I196,"")</f>
        <v>-2.2000000000000001E-3</v>
      </c>
      <c r="J347" s="302"/>
      <c r="K347" s="417">
        <f>IF(AND(I347="",J347=""),"",IF(I347="",J347,I347))</f>
        <v>-2.2000000000000001E-3</v>
      </c>
      <c r="L347" s="33" t="s">
        <v>191</v>
      </c>
    </row>
    <row r="348" spans="1:12" x14ac:dyDescent="0.25">
      <c r="A348" s="1367"/>
      <c r="B348" s="418" t="s">
        <v>332</v>
      </c>
      <c r="C348" s="429">
        <f>IF($O$141="X",IF($H$155="X",IF(C350="X",C347/$O$152,IF(E350="X",C344/$O$152,IF(G350="X",E344/$O$152,IF(I350="X",G344/$O$152,"ERRORE")))),IF($H$152="X",IF(C350="X",C347/$O$149,IF(E350="X",C344/$O$149,IF(G350="X",E344/$O$149,IF(I350="X",G344/$O$149,"ERRORE")))))),"NON SERVE")</f>
        <v>0.65999999999999992</v>
      </c>
      <c r="D348" s="1363"/>
      <c r="E348" s="9"/>
      <c r="F348" s="1368"/>
      <c r="G348" s="283"/>
      <c r="H348" s="9" t="s">
        <v>178</v>
      </c>
      <c r="I348" s="416">
        <f>IF('RAPPORTO ISPEZIONE'!I197&lt;&gt;"",'RAPPORTO ISPEZIONE'!I197,"")</f>
        <v>2.3E-3</v>
      </c>
      <c r="J348" s="302"/>
      <c r="K348" s="417">
        <f>IF(AND(I348="",J348=""),"",IF(I348="",J348,I348))</f>
        <v>2.3E-3</v>
      </c>
      <c r="L348" s="420">
        <f>ROUND(AVERAGE(K347,K348,K349),$H$164+2)</f>
        <v>8.3000000000000001E-4</v>
      </c>
    </row>
    <row r="349" spans="1:12" x14ac:dyDescent="0.25">
      <c r="A349" s="424"/>
      <c r="B349" s="27" t="s">
        <v>333</v>
      </c>
      <c r="C349" s="429">
        <f>IF($O$159="X",IF($H$155="X",IF($O$162="X",IF(E349="F-N",C346/$O$171,C346/($O$171*SQRT(3))),IF($O$161="X",IF(E349="F-F",C346/$O$171,"ERRORE"),IF($O$160="X",C346/$O$171))),IF($O$159="X",IF($H$152="X",IF($O$162="X",IF(E349="F-N",C346/$O$167,C346/($O$167*SQRT(3))),IF($O$161="X",IF(E349="F-F",C346/$O$167,"ERRORE"),IF($O$160="X",C346/$O$167)))))))</f>
        <v>0.57700000000000007</v>
      </c>
      <c r="D349" s="1363"/>
      <c r="E349" s="353" t="str">
        <f>E334</f>
        <v>F-N</v>
      </c>
      <c r="F349" s="1368"/>
      <c r="G349" s="12">
        <f>IF(G348="",G347,G348)</f>
        <v>2.1150000000000002</v>
      </c>
      <c r="H349" s="9" t="s">
        <v>179</v>
      </c>
      <c r="I349" s="416">
        <f>IF('RAPPORTO ISPEZIONE'!I198&lt;&gt;"",'RAPPORTO ISPEZIONE'!I198,"")</f>
        <v>2.3999999999999998E-3</v>
      </c>
      <c r="J349" s="302"/>
      <c r="K349" s="417">
        <f>IF(AND(I349="",J349=""),"",IF(I349="",J349,I349))</f>
        <v>2.3999999999999998E-3</v>
      </c>
      <c r="L349" s="33"/>
    </row>
    <row r="350" spans="1:12" x14ac:dyDescent="0.25">
      <c r="A350" s="422" t="s">
        <v>286</v>
      </c>
      <c r="B350" s="9" t="s">
        <v>282</v>
      </c>
      <c r="C350" s="289" t="s">
        <v>1230</v>
      </c>
      <c r="D350" s="9" t="s">
        <v>283</v>
      </c>
      <c r="E350" s="289"/>
      <c r="F350" s="26" t="s">
        <v>284</v>
      </c>
      <c r="G350" s="289"/>
      <c r="H350" s="28" t="s">
        <v>285</v>
      </c>
      <c r="I350" s="289"/>
      <c r="J350" s="7"/>
      <c r="K350" s="7"/>
      <c r="L350" s="423" t="str">
        <f>IF(B338="X",IF((IF(C350="X",1,0)+IF(E350="X",1,0)+IF(G350="X",1,0)+IF(I350="X",1,0))&lt;&gt;1,"ERRORE",""),"")</f>
        <v/>
      </c>
    </row>
    <row r="351" spans="1:12" x14ac:dyDescent="0.25">
      <c r="A351" s="424"/>
      <c r="B351" s="7"/>
      <c r="C351" s="7"/>
      <c r="D351" s="7"/>
      <c r="E351" s="7"/>
      <c r="F351" s="7"/>
      <c r="G351" s="7"/>
      <c r="H351" s="7"/>
      <c r="I351" s="7"/>
      <c r="J351" s="7"/>
      <c r="K351" s="7"/>
      <c r="L351" s="18"/>
    </row>
    <row r="352" spans="1:12" x14ac:dyDescent="0.25">
      <c r="A352" s="424"/>
      <c r="B352" s="7"/>
      <c r="C352" s="7"/>
      <c r="D352" s="7"/>
      <c r="E352" s="7"/>
      <c r="F352" s="7"/>
      <c r="G352" s="7"/>
      <c r="H352" s="7"/>
      <c r="I352" s="7"/>
      <c r="J352" s="7"/>
      <c r="K352" s="7"/>
      <c r="L352" s="18"/>
    </row>
    <row r="353" spans="1:12" x14ac:dyDescent="0.25">
      <c r="A353" s="411" t="s">
        <v>583</v>
      </c>
      <c r="B353" s="289" t="s">
        <v>1230</v>
      </c>
      <c r="C353" s="7"/>
      <c r="D353" s="7"/>
      <c r="E353" s="7"/>
      <c r="F353" s="7"/>
      <c r="G353" s="7"/>
      <c r="H353" s="7"/>
      <c r="I353" s="7"/>
      <c r="J353" s="7"/>
      <c r="K353" s="7"/>
      <c r="L353" s="18"/>
    </row>
    <row r="354" spans="1:12" x14ac:dyDescent="0.25">
      <c r="A354" s="1364" t="s">
        <v>166</v>
      </c>
      <c r="B354" s="1347" t="s">
        <v>167</v>
      </c>
      <c r="C354" s="383">
        <f>IF('RAPPORTO ISPEZIONE'!B200&lt;&gt;"",'RAPPORTO ISPEZIONE'!B200,"")</f>
        <v>57.74</v>
      </c>
      <c r="D354" s="1347" t="s">
        <v>168</v>
      </c>
      <c r="E354" s="383">
        <f>IF('RAPPORTO ISPEZIONE'!C200&lt;&gt;"",'RAPPORTO ISPEZIONE'!C200,"")</f>
        <v>57.73</v>
      </c>
      <c r="F354" s="1347" t="s">
        <v>169</v>
      </c>
      <c r="G354" s="383">
        <f>IF('RAPPORTO ISPEZIONE'!D200&lt;&gt;"",'RAPPORTO ISPEZIONE'!D200,"")</f>
        <v>57.71</v>
      </c>
      <c r="H354" s="1347" t="s">
        <v>174</v>
      </c>
      <c r="I354" s="383">
        <f>IF('RAPPORTO ISPEZIONE'!H199&lt;&gt;"",'RAPPORTO ISPEZIONE'!H199,"")</f>
        <v>0.99</v>
      </c>
      <c r="J354" s="7"/>
      <c r="K354" s="7"/>
      <c r="L354" s="18"/>
    </row>
    <row r="355" spans="1:12" x14ac:dyDescent="0.25">
      <c r="A355" s="1365"/>
      <c r="B355" s="1348"/>
      <c r="C355" s="301"/>
      <c r="D355" s="1348"/>
      <c r="E355" s="301"/>
      <c r="F355" s="1348"/>
      <c r="G355" s="301"/>
      <c r="H355" s="1348"/>
      <c r="I355" s="301"/>
      <c r="J355" s="7"/>
      <c r="K355" s="7"/>
      <c r="L355" s="18"/>
    </row>
    <row r="356" spans="1:12" x14ac:dyDescent="0.25">
      <c r="A356" s="1366"/>
      <c r="B356" s="1349"/>
      <c r="C356" s="12">
        <f>IF(C354="",IF(C355="","",C355),C354)</f>
        <v>57.74</v>
      </c>
      <c r="D356" s="1349"/>
      <c r="E356" s="12">
        <f>IF(E354="",IF(E355="","",E355),E354)</f>
        <v>57.73</v>
      </c>
      <c r="F356" s="1349"/>
      <c r="G356" s="12">
        <f>IF(G354="",IF(G355="","",G355),G354)</f>
        <v>57.71</v>
      </c>
      <c r="H356" s="1349"/>
      <c r="I356" s="12">
        <f>IF(I354="",IF(I355="","",I355),I354)</f>
        <v>0.99</v>
      </c>
      <c r="J356" s="7"/>
      <c r="K356" s="7"/>
      <c r="L356" s="18"/>
    </row>
    <row r="357" spans="1:12" x14ac:dyDescent="0.25">
      <c r="A357" s="1364" t="s">
        <v>170</v>
      </c>
      <c r="B357" s="1347" t="s">
        <v>171</v>
      </c>
      <c r="C357" s="383">
        <f>IF('RAPPORTO ISPEZIONE'!B201&lt;&gt;"",'RAPPORTO ISPEZIONE'!B201,"")</f>
        <v>3.2719999999999998</v>
      </c>
      <c r="D357" s="1347" t="s">
        <v>172</v>
      </c>
      <c r="E357" s="383">
        <f>IF('RAPPORTO ISPEZIONE'!C201&lt;&gt;"",'RAPPORTO ISPEZIONE'!C201,"")</f>
        <v>3.343</v>
      </c>
      <c r="F357" s="1347" t="s">
        <v>173</v>
      </c>
      <c r="G357" s="383">
        <f>IF('RAPPORTO ISPEZIONE'!D201&lt;&gt;"",'RAPPORTO ISPEZIONE'!D201,"")</f>
        <v>3.2629999999999999</v>
      </c>
      <c r="H357" s="1347" t="s">
        <v>175</v>
      </c>
      <c r="I357" s="383" t="str">
        <f>IF('RAPPORTO ISPEZIONE'!H201&lt;&gt;"",'RAPPORTO ISPEZIONE'!H201,"")</f>
        <v/>
      </c>
      <c r="J357" s="5"/>
      <c r="K357" s="7"/>
      <c r="L357" s="18"/>
    </row>
    <row r="358" spans="1:12" x14ac:dyDescent="0.25">
      <c r="A358" s="1365"/>
      <c r="B358" s="1348"/>
      <c r="C358" s="301"/>
      <c r="D358" s="1348"/>
      <c r="E358" s="301"/>
      <c r="F358" s="1348"/>
      <c r="G358" s="301"/>
      <c r="H358" s="1348"/>
      <c r="I358" s="301"/>
      <c r="J358" s="7"/>
      <c r="K358" s="7"/>
      <c r="L358" s="18"/>
    </row>
    <row r="359" spans="1:12" x14ac:dyDescent="0.25">
      <c r="A359" s="1366"/>
      <c r="B359" s="1349"/>
      <c r="C359" s="12">
        <f>IF(C357="",IF(C358="","",C358),C357)</f>
        <v>3.2719999999999998</v>
      </c>
      <c r="D359" s="1349"/>
      <c r="E359" s="12">
        <f>IF(E357="",IF(E358="","",E358),E357)</f>
        <v>3.343</v>
      </c>
      <c r="F359" s="1349"/>
      <c r="G359" s="12">
        <f>IF(G357="",IF(G358="","",G358),G357)</f>
        <v>3.2629999999999999</v>
      </c>
      <c r="H359" s="1349"/>
      <c r="I359" s="12" t="str">
        <f>IF(I357="",IF(I358="","",I358),I357)</f>
        <v/>
      </c>
      <c r="J359" s="7"/>
      <c r="K359" s="7"/>
      <c r="L359" s="18"/>
    </row>
    <row r="360" spans="1:12" ht="18" x14ac:dyDescent="0.35">
      <c r="A360" s="20"/>
      <c r="B360" s="347" t="s">
        <v>345</v>
      </c>
      <c r="C360" s="4"/>
      <c r="D360" s="4"/>
      <c r="E360" s="2" t="str">
        <f>IF(OR($H$189="A",$H$189="B",$H$189="C"),IF(OR($H$180="X",$H$183="X"),IF(C365="X",IF($H$146="X",(IF($H$155="X",(IF(AND(C362&lt;$H$194,C362&gt;=$H$193),"SI","NO")),(IF($H$152="X",IF(AND((C362*$O$152/$O$149)&lt;$H$194,(C362*$O$152/$O$149)&gt;=$H$193),"SI","NO"),"ERRORE")))),IF($H$143="X",IF($H$152="X",(IF(AND(C362&lt;$H$194,C362&gt;=$H$193),"SI","NO")),"ERRORE"),"ERRORE")),"NON SERVE"),IF($H$186="X",IF($H$146="X",(IF($H$155="X",(IF(AND(MAX(C359,E359,G359,)&lt;$H$194,MAX(C359,E359,G359)&gt;=$H$193),"SI","NO")),(IF($H$152="X",IF(AND((MAX(C359,E359,G359)*$O$152/$O$149)&lt;$H$194,(MAX(C359,E359,G359)*$O$152/$O$149)&gt;=$H$193),"SI","NO"),"ERRORE")))),IF($H$143="X",IF($H$152="X",(IF(AND(MAX(C359,E359,G359)&lt;$H$194,MAX(C359,E359,G359)&gt;=$H$193),"SI","NO")),"ERRORE"),"ERRORE")))),"NON SERVE")</f>
        <v>NO</v>
      </c>
      <c r="F360" s="347" t="s">
        <v>322</v>
      </c>
      <c r="G360" s="4"/>
      <c r="H360" s="4"/>
      <c r="I360" s="2" t="str">
        <f>IF($H$189="0,2S",IF(OR($H$180="X",$H$183="X"),IF(C365="X",IF($H$146="X",(IF($H$155="X",(IF(AND(C362&lt;0.1*$H$192,C362&gt;=$H$193),"SI","NO")),(IF($H$152="X",IF(AND((C362*$O$152/$O$149)&lt;0.1*$H$192,(C362*$O$152/$O$149)&gt;=$H$193),"SI","NO"),"ERRORE")))),IF($H$143="X",IF($H$152="X",(IF(AND(C362&lt;0.1*$H$192,C362&gt;=$H$193),"SI","NO")),"ERRORE"),"ERRORE")),"NON SERVE"),IF($H$186="X",IF($H$146="X",(IF($H$155="X",(IF(AND(MAX(C359,E359,G359,)&lt;0.1*$H$192,MAX(C359,E359,G359)&gt;=$H$193),"SI","NO")),(IF($H$152="X",IF(AND((MAX(C359,E359,G359)*$O$152/$O$149)&lt;0.1*$H$192,(MAX(C359,E359,G359)*$O$152/$O$149)&gt;=$H$193),"SI","NO"),"ERRORE")))),IF($H$143="X",IF($H$152="X",(IF(AND(MAX(C359,E359,G359)&lt;0.1*$H$192,MAX(C359,E359,G359)&gt;=$H$193),"SI","NO")),"ERRORE"),"ERRORE")))),"NON SERVE")</f>
        <v>NON SERVE</v>
      </c>
      <c r="J360" s="7"/>
      <c r="K360" s="7"/>
      <c r="L360" s="18"/>
    </row>
    <row r="361" spans="1:12" x14ac:dyDescent="0.25">
      <c r="A361" s="1367" t="s">
        <v>8</v>
      </c>
      <c r="B361" s="9" t="s">
        <v>188</v>
      </c>
      <c r="C361" s="414">
        <f>ROUND(AVERAGE(C356,E356,G356),$H$163)</f>
        <v>57.7</v>
      </c>
      <c r="D361" s="7"/>
      <c r="E361" s="7"/>
      <c r="F361" s="351" t="s">
        <v>550</v>
      </c>
      <c r="G361" s="289" t="s">
        <v>469</v>
      </c>
      <c r="H361" s="124" t="s">
        <v>238</v>
      </c>
      <c r="I361" s="356" t="s">
        <v>521</v>
      </c>
      <c r="J361" s="7"/>
      <c r="K361" s="7"/>
      <c r="L361" s="18"/>
    </row>
    <row r="362" spans="1:12" x14ac:dyDescent="0.25">
      <c r="A362" s="1367"/>
      <c r="B362" s="9" t="s">
        <v>189</v>
      </c>
      <c r="C362" s="415">
        <f>ROUND(AVERAGE(C359,E359,G359),$H$162)</f>
        <v>3.29</v>
      </c>
      <c r="D362" s="1363" t="s">
        <v>297</v>
      </c>
      <c r="E362" s="9"/>
      <c r="F362" s="1368" t="s">
        <v>548</v>
      </c>
      <c r="G362" s="383">
        <f>IF('RAPPORTO ISPEZIONE'!F199&lt;&gt;"",IF('RAPPORTO ISPEZIONE'!$G$183=TABELLE!$B$177,'RAPPORTO ISPEZIONE'!F199/1000,IF('RAPPORTO ISPEZIONE'!$G$183=TABELLE!$B$178,'RAPPORTO ISPEZIONE'!F199,IF('RAPPORTO ISPEZIONE'!$G$183=TABELLE!$B$179,'RAPPORTO ISPEZIONE'!F199*1000))),"")</f>
        <v>2.1160000000000001</v>
      </c>
      <c r="H362" s="9" t="s">
        <v>177</v>
      </c>
      <c r="I362" s="416">
        <f>IF('RAPPORTO ISPEZIONE'!I199&lt;&gt;"",'RAPPORTO ISPEZIONE'!I199,"")</f>
        <v>2.5000000000000001E-3</v>
      </c>
      <c r="J362" s="302"/>
      <c r="K362" s="417">
        <f>IF(AND(I362="",J362=""),"",IF(I362="",J362,I362))</f>
        <v>2.5000000000000001E-3</v>
      </c>
      <c r="L362" s="33" t="s">
        <v>191</v>
      </c>
    </row>
    <row r="363" spans="1:12" x14ac:dyDescent="0.25">
      <c r="A363" s="1367"/>
      <c r="B363" s="418" t="s">
        <v>332</v>
      </c>
      <c r="C363" s="429">
        <f>IF($O$141="X",IF($H$155="X",IF(C365="X",C362/$O$152,IF(E365="X",C359/$O$152,IF(G365="X",E359/$O$152,IF(I365="X",G359/$O$152,"ERRORE")))),IF($H$152="X",IF(C365="X",C362/$O$149,IF(E365="X",C359/$O$149,IF(G365="X",E359/$O$149,IF(I365="X",G359/$O$149,"ERRORE")))))),"NON SERVE")</f>
        <v>0.65800000000000003</v>
      </c>
      <c r="D363" s="1363"/>
      <c r="E363" s="9"/>
      <c r="F363" s="1368"/>
      <c r="G363" s="283"/>
      <c r="H363" s="9" t="s">
        <v>178</v>
      </c>
      <c r="I363" s="416">
        <f>IF('RAPPORTO ISPEZIONE'!I200&lt;&gt;"",'RAPPORTO ISPEZIONE'!I200,"")</f>
        <v>2.5999999999999999E-3</v>
      </c>
      <c r="J363" s="302"/>
      <c r="K363" s="417">
        <f>IF(AND(I363="",J363=""),"",IF(I363="",J363,I363))</f>
        <v>2.5999999999999999E-3</v>
      </c>
      <c r="L363" s="420">
        <f>ROUND(AVERAGE(K362,K363,K364),$H$164+2)</f>
        <v>8.0000000000000004E-4</v>
      </c>
    </row>
    <row r="364" spans="1:12" x14ac:dyDescent="0.25">
      <c r="A364" s="424"/>
      <c r="B364" s="27" t="s">
        <v>333</v>
      </c>
      <c r="C364" s="419">
        <f>IF($O$159="X",IF($H$155="X",IF($O$162="X",IF(E364="F-N",C361/$O$171,C361/($O$171*SQRT(3))),IF($O$161="X",IF(E364="F-F",C361/$O$171,"ERRORE"),IF($O$160="X",C361/$O$171))),IF($O$159="X",IF($H$152="X",IF($O$162="X",IF(E364="F-N",C361/$O$167,C361/($O$167*SQRT(3))),IF($O$161="X",IF(E364="F-F",C361/$O$167,"ERRORE"),IF($O$160="X",C361/$O$167)))))))</f>
        <v>0.57700000000000007</v>
      </c>
      <c r="D364" s="1363"/>
      <c r="E364" s="353" t="str">
        <f>E349</f>
        <v>F-N</v>
      </c>
      <c r="F364" s="1368"/>
      <c r="G364" s="12">
        <f>IF(G363="",G362,G363)</f>
        <v>2.1160000000000001</v>
      </c>
      <c r="H364" s="9" t="s">
        <v>179</v>
      </c>
      <c r="I364" s="416">
        <f>IF('RAPPORTO ISPEZIONE'!I201&lt;&gt;"",'RAPPORTO ISPEZIONE'!I201,"")</f>
        <v>-2.7000000000000001E-3</v>
      </c>
      <c r="J364" s="302"/>
      <c r="K364" s="417">
        <f>IF(AND(I364="",J364=""),"",IF(I364="",J364,I364))</f>
        <v>-2.7000000000000001E-3</v>
      </c>
      <c r="L364" s="33"/>
    </row>
    <row r="365" spans="1:12" x14ac:dyDescent="0.25">
      <c r="A365" s="422" t="s">
        <v>286</v>
      </c>
      <c r="B365" s="9" t="s">
        <v>282</v>
      </c>
      <c r="C365" s="289" t="s">
        <v>1230</v>
      </c>
      <c r="D365" s="9" t="s">
        <v>283</v>
      </c>
      <c r="E365" s="289"/>
      <c r="F365" s="26" t="s">
        <v>284</v>
      </c>
      <c r="G365" s="289"/>
      <c r="H365" s="28" t="s">
        <v>285</v>
      </c>
      <c r="I365" s="289"/>
      <c r="J365" s="7"/>
      <c r="K365" s="7"/>
      <c r="L365" s="423" t="str">
        <f>IF(B353="X",IF((IF(C365="X",1,0)+IF(E365="X",1,0)+IF(G365="X",1,0)+IF(I365="X",1,0))&lt;&gt;1,"ERRORE",""),"")</f>
        <v/>
      </c>
    </row>
    <row r="366" spans="1:12" ht="15.75" thickBot="1" x14ac:dyDescent="0.3">
      <c r="A366" s="430"/>
      <c r="B366" s="431"/>
      <c r="C366" s="431"/>
      <c r="D366" s="431"/>
      <c r="E366" s="431"/>
      <c r="F366" s="431"/>
      <c r="G366" s="431"/>
      <c r="H366" s="431"/>
      <c r="I366" s="431"/>
      <c r="J366" s="431"/>
      <c r="K366" s="431"/>
      <c r="L366" s="432"/>
    </row>
    <row r="367" spans="1:12" ht="15.75" thickBot="1" x14ac:dyDescent="0.3">
      <c r="A367" s="7"/>
      <c r="B367" s="7"/>
      <c r="C367" s="7"/>
      <c r="D367" s="7"/>
      <c r="E367" s="7"/>
      <c r="F367" s="7"/>
      <c r="G367" s="7"/>
      <c r="H367" s="7"/>
      <c r="I367" s="7"/>
      <c r="J367" s="7"/>
    </row>
    <row r="368" spans="1:12" ht="21" x14ac:dyDescent="0.35">
      <c r="A368" s="404" t="s">
        <v>554</v>
      </c>
      <c r="B368" s="405"/>
      <c r="C368" s="405"/>
      <c r="D368" s="405"/>
      <c r="E368" s="406"/>
      <c r="F368" s="406"/>
      <c r="G368" s="405"/>
      <c r="H368" s="405"/>
      <c r="I368" s="405"/>
      <c r="J368" s="405"/>
      <c r="K368" s="405"/>
      <c r="L368" s="407"/>
    </row>
    <row r="369" spans="1:12" x14ac:dyDescent="0.25">
      <c r="A369" s="1370" t="s">
        <v>1001</v>
      </c>
      <c r="B369" s="1371"/>
      <c r="C369" s="1371"/>
      <c r="D369" s="9" t="s">
        <v>167</v>
      </c>
      <c r="E369" s="408">
        <f>IF(OR(C378&lt;&gt;"",C546&lt;&gt;""),ROUND(IF($E$289="F-F",1,SQRT(3))*AVERAGE(C378,C546),$H$163),"-")</f>
        <v>99.9</v>
      </c>
      <c r="F369" s="17" t="s">
        <v>168</v>
      </c>
      <c r="G369" s="408">
        <f>IF(OR(E378&lt;&gt;"",E546&lt;&gt;""),ROUND(IF($E$289="F-F",1,SQRT(3))*AVERAGE(E378,E546),$H$163),"-")</f>
        <v>99.9</v>
      </c>
      <c r="H369" s="9" t="s">
        <v>169</v>
      </c>
      <c r="I369" s="408">
        <f>IF(OR(G378&lt;&gt;"",G546&lt;&gt;""),ROUND(IF($E$289="F-F",1,SQRT(3))*AVERAGE(G378,G546),$H$163),"-")</f>
        <v>99.9</v>
      </c>
      <c r="J369" s="7"/>
      <c r="K369" s="7"/>
      <c r="L369" s="18"/>
    </row>
    <row r="370" spans="1:12" x14ac:dyDescent="0.25">
      <c r="A370" s="1370" t="s">
        <v>533</v>
      </c>
      <c r="B370" s="1371"/>
      <c r="C370" s="1371"/>
      <c r="D370" s="9" t="s">
        <v>534</v>
      </c>
      <c r="E370" s="381" t="str">
        <f>IF(OR('RAPPORTO ISPEZIONE'!M210="X",'RAPPORTO ISPEZIONE'!M210="X"),"X","")</f>
        <v>X</v>
      </c>
      <c r="F370" s="9" t="s">
        <v>535</v>
      </c>
      <c r="G370" s="381" t="str">
        <f>IF(OR('RAPPORTO ISPEZIONE'!K210="X",'RAPPORTO ISPEZIONE'!K210="X"),"X","")</f>
        <v/>
      </c>
      <c r="H370" s="7"/>
      <c r="I370" s="7"/>
      <c r="J370" s="7"/>
      <c r="K370" s="7"/>
      <c r="L370" s="18"/>
    </row>
    <row r="371" spans="1:12" x14ac:dyDescent="0.25">
      <c r="A371" s="433"/>
      <c r="B371" s="31"/>
      <c r="C371" s="31"/>
      <c r="D371" s="7"/>
      <c r="E371" s="283"/>
      <c r="F371" s="7"/>
      <c r="G371" s="283"/>
      <c r="H371" s="7"/>
      <c r="I371" s="7"/>
      <c r="J371" s="7"/>
      <c r="K371" s="7"/>
      <c r="L371" s="18"/>
    </row>
    <row r="372" spans="1:12" x14ac:dyDescent="0.25">
      <c r="A372" s="433"/>
      <c r="B372" s="31"/>
      <c r="C372" s="31"/>
      <c r="D372" s="7"/>
      <c r="E372" s="12" t="str">
        <f>IF(E371="",E370,E371)</f>
        <v>X</v>
      </c>
      <c r="F372" s="7"/>
      <c r="G372" s="12" t="str">
        <f>IF(G371="",G370,G371)</f>
        <v/>
      </c>
      <c r="H372" s="7"/>
      <c r="I372" s="7"/>
      <c r="J372" s="7"/>
      <c r="K372" s="7"/>
      <c r="L372" s="18"/>
    </row>
    <row r="373" spans="1:12" x14ac:dyDescent="0.25">
      <c r="A373" s="424"/>
      <c r="B373" s="7"/>
      <c r="C373" s="7"/>
      <c r="D373" s="7"/>
      <c r="E373" s="7"/>
      <c r="F373" s="7"/>
      <c r="G373" s="7"/>
      <c r="H373" s="7"/>
      <c r="I373" s="7"/>
      <c r="J373" s="7"/>
      <c r="K373" s="7"/>
      <c r="L373" s="18"/>
    </row>
    <row r="374" spans="1:12" x14ac:dyDescent="0.25">
      <c r="A374" s="424"/>
      <c r="B374" s="7"/>
      <c r="C374" s="7"/>
      <c r="D374" s="7"/>
      <c r="E374" s="7"/>
      <c r="F374" s="7"/>
      <c r="G374" s="7"/>
      <c r="H374" s="7"/>
      <c r="I374" s="7"/>
      <c r="J374" s="7"/>
      <c r="K374" s="7"/>
      <c r="L374" s="18"/>
    </row>
    <row r="375" spans="1:12" x14ac:dyDescent="0.25">
      <c r="A375" s="411" t="s">
        <v>307</v>
      </c>
      <c r="B375" s="289" t="s">
        <v>1230</v>
      </c>
      <c r="C375" s="434" t="s">
        <v>728</v>
      </c>
      <c r="D375" s="7"/>
      <c r="E375" s="7"/>
      <c r="F375" s="7"/>
      <c r="G375" s="7"/>
      <c r="H375" s="7"/>
      <c r="I375" s="7"/>
      <c r="J375" s="7"/>
      <c r="K375" s="7"/>
      <c r="L375" s="18"/>
    </row>
    <row r="376" spans="1:12" s="3" customFormat="1" x14ac:dyDescent="0.25">
      <c r="A376" s="1364" t="s">
        <v>166</v>
      </c>
      <c r="B376" s="1347" t="s">
        <v>167</v>
      </c>
      <c r="C376" s="383">
        <f>IF('RAPPORTO ISPEZIONE'!D211&lt;&gt;"",'RAPPORTO ISPEZIONE'!D211,"")</f>
        <v>57.7</v>
      </c>
      <c r="D376" s="1347" t="s">
        <v>168</v>
      </c>
      <c r="E376" s="12">
        <f t="shared" ref="E376:E381" si="37">C376</f>
        <v>57.7</v>
      </c>
      <c r="F376" s="1347" t="s">
        <v>169</v>
      </c>
      <c r="G376" s="12">
        <f t="shared" ref="G376:G381" si="38">E376</f>
        <v>57.7</v>
      </c>
      <c r="H376" s="1347" t="s">
        <v>174</v>
      </c>
      <c r="I376" s="2"/>
      <c r="J376" s="5"/>
      <c r="K376" s="7"/>
      <c r="L376" s="412"/>
    </row>
    <row r="377" spans="1:12" s="3" customFormat="1" x14ac:dyDescent="0.25">
      <c r="A377" s="1365"/>
      <c r="B377" s="1348"/>
      <c r="C377" s="301"/>
      <c r="D377" s="1348"/>
      <c r="E377" s="12">
        <f>C377</f>
        <v>0</v>
      </c>
      <c r="F377" s="1348"/>
      <c r="G377" s="12">
        <f t="shared" si="38"/>
        <v>0</v>
      </c>
      <c r="H377" s="1348"/>
      <c r="I377" s="12"/>
      <c r="J377" s="5"/>
      <c r="K377" s="7"/>
      <c r="L377" s="412"/>
    </row>
    <row r="378" spans="1:12" s="3" customFormat="1" x14ac:dyDescent="0.25">
      <c r="A378" s="1366"/>
      <c r="B378" s="1349"/>
      <c r="C378" s="12">
        <f>IF(C376="",IF(C377="","",C377),C376)</f>
        <v>57.7</v>
      </c>
      <c r="D378" s="1349"/>
      <c r="E378" s="12">
        <f t="shared" si="37"/>
        <v>57.7</v>
      </c>
      <c r="F378" s="1349"/>
      <c r="G378" s="12">
        <f t="shared" si="38"/>
        <v>57.7</v>
      </c>
      <c r="H378" s="1349"/>
      <c r="I378" s="12">
        <v>1</v>
      </c>
      <c r="J378" s="5"/>
      <c r="K378" s="7"/>
      <c r="L378" s="412"/>
    </row>
    <row r="379" spans="1:12" x14ac:dyDescent="0.25">
      <c r="A379" s="1364" t="s">
        <v>170</v>
      </c>
      <c r="B379" s="1347" t="s">
        <v>171</v>
      </c>
      <c r="C379" s="383">
        <f>IF('RAPPORTO ISPEZIONE'!C221&lt;&gt;"",'RAPPORTO ISPEZIONE'!C221,"")</f>
        <v>0.25</v>
      </c>
      <c r="D379" s="1363" t="s">
        <v>172</v>
      </c>
      <c r="E379" s="353">
        <f t="shared" si="37"/>
        <v>0.25</v>
      </c>
      <c r="F379" s="1363" t="s">
        <v>173</v>
      </c>
      <c r="G379" s="353">
        <f t="shared" si="38"/>
        <v>0.25</v>
      </c>
      <c r="H379" s="1347" t="s">
        <v>175</v>
      </c>
      <c r="I379" s="9"/>
      <c r="J379" s="5"/>
      <c r="K379" s="7"/>
      <c r="L379" s="18"/>
    </row>
    <row r="380" spans="1:12" x14ac:dyDescent="0.25">
      <c r="A380" s="1365"/>
      <c r="B380" s="1348"/>
      <c r="C380" s="301"/>
      <c r="D380" s="1363"/>
      <c r="E380" s="353">
        <f t="shared" si="37"/>
        <v>0</v>
      </c>
      <c r="F380" s="1363"/>
      <c r="G380" s="353">
        <f t="shared" si="38"/>
        <v>0</v>
      </c>
      <c r="H380" s="1348"/>
      <c r="I380" s="12"/>
      <c r="J380" s="5"/>
      <c r="K380" s="7"/>
      <c r="L380" s="18"/>
    </row>
    <row r="381" spans="1:12" x14ac:dyDescent="0.25">
      <c r="A381" s="1366"/>
      <c r="B381" s="1349"/>
      <c r="C381" s="12">
        <f>IF(C379="",IF(C380="","",C380),C379)</f>
        <v>0.25</v>
      </c>
      <c r="D381" s="1363"/>
      <c r="E381" s="353">
        <f t="shared" si="37"/>
        <v>0.25</v>
      </c>
      <c r="F381" s="1363"/>
      <c r="G381" s="353">
        <f t="shared" si="38"/>
        <v>0.25</v>
      </c>
      <c r="H381" s="1349"/>
      <c r="I381" s="12" t="s">
        <v>185</v>
      </c>
      <c r="J381" s="5"/>
      <c r="K381" s="7"/>
      <c r="L381" s="18"/>
    </row>
    <row r="382" spans="1:12" ht="18" x14ac:dyDescent="0.35">
      <c r="A382" s="1367" t="s">
        <v>8</v>
      </c>
      <c r="B382" s="347" t="s">
        <v>345</v>
      </c>
      <c r="C382" s="435"/>
      <c r="D382" s="436"/>
      <c r="E382" s="2" t="str">
        <f>IF(OR($H$189="A",$H$189="B",$H$189="C"),IF(OR($H$180="X",$H$183="X"),IF(C387="X",IF($H$146="X",(IF($H$161="X",(IF(AND(C384&lt;$H$194,C384&gt;=$H$193),"SI","NO")),(IF($H$158="X",IF(AND((C384*$O$152/$O$149)&lt;$H$194,(C384*$O$152/$O$149)&gt;=$H$193),"SI","NO"),"ERRORE")))),IF($H$143="X",IF($H$158="X",(IF(AND(C384&lt;$H$194,C384&gt;=$H$193),"SI","NO")),"ERRORE"),"ERRORE")),"NON SERVE"),IF($H$186="X",IF($H$146="X",(IF($H$161="X",(IF(AND(MAX(C381,E381,G381,)&lt;$H$194,MAX(C381,E381,G381)&gt;=$H$193),"SI","NO")),(IF($H$158="X",IF(AND((MAX(C381,E381,G381)*$O$152/$O$149)&lt;$H$194,(MAX(C381,E381,G381)*$O$152/$O$149)&gt;=$H$193),"SI","NO"),"ERRORE")))),IF($H$143="X",IF($H$158="X",(IF(AND(MAX(C381,E381,G381)&lt;$H$194,MAX(C381,E381,G381)&gt;=$H$193),"SI","NO")),"ERRORE"),"ERRORE")))),"NON SERVE")</f>
        <v>NO</v>
      </c>
      <c r="F382" s="347" t="s">
        <v>322</v>
      </c>
      <c r="G382" s="4"/>
      <c r="H382" s="4"/>
      <c r="I382" s="2" t="str">
        <f>IF($H$189="0,2S",IF(OR($H$180="X",$H$183="X"),IF(C387="X",IF($H$146="X",(IF($H$161="X",(IF(AND(C384&lt;0.1*$H$192,C384&gt;=$H$193),"SI","NO")),(IF($H$158="X",IF(AND((C384*$O$152/$O$149)&lt;0.1*$H$192,(C384*$O$152/$O$149)&gt;=$H$193),"SI","NO"),"ERRORE")))),IF($H$143="X",IF($H$158="X",(IF(AND(C384&lt;0.1*$H$192,C384&gt;=$H$193),"SI","NO")),"ERRORE"),"ERRORE")),"NON SERVE"),IF($H$186="X",IF($H$146="X",(IF($H$161="X",(IF(AND(MAX(C381,E381,G381,)&lt;0.1*$H$192,MAX(C381,E381,G381)&gt;=$H$193),"SI","NO")),(IF($H$158="X",IF(AND((MAX(C381,E381,G381)*$O$152/$O$149)&lt;0.1*$H$192,(MAX(C381,E381,G381)*$O$152/$O$149)&gt;=$H$193),"SI","NO"),"ERRORE")))),IF($H$143="X",IF($H$158="X",(IF(AND(MAX(C381,E381,G381)&lt;0.1*$H$192,MAX(C381,E381,G381)&gt;=$H$193),"SI","NO")),"ERRORE"),"ERRORE")))),"NON SERVE")</f>
        <v>NON SERVE</v>
      </c>
      <c r="J382" s="5"/>
      <c r="K382" s="7"/>
      <c r="L382" s="18"/>
    </row>
    <row r="383" spans="1:12" x14ac:dyDescent="0.25">
      <c r="A383" s="1367"/>
      <c r="B383" s="9" t="s">
        <v>188</v>
      </c>
      <c r="C383" s="414">
        <f>ROUND(AVERAGE(C378,E378,G378),$H$163)</f>
        <v>57.7</v>
      </c>
      <c r="D383" s="7"/>
      <c r="E383" s="7"/>
      <c r="F383" s="351" t="s">
        <v>550</v>
      </c>
      <c r="G383" s="289" t="s">
        <v>469</v>
      </c>
      <c r="H383" s="124" t="s">
        <v>238</v>
      </c>
      <c r="I383" s="356" t="s">
        <v>520</v>
      </c>
      <c r="J383" s="7"/>
      <c r="K383" s="7"/>
      <c r="L383" s="18"/>
    </row>
    <row r="384" spans="1:12" x14ac:dyDescent="0.25">
      <c r="A384" s="1367"/>
      <c r="B384" s="9" t="s">
        <v>189</v>
      </c>
      <c r="C384" s="415">
        <f>ROUND(AVERAGE(C381,E381,G381),$H$162)</f>
        <v>0.25</v>
      </c>
      <c r="D384" s="1363" t="s">
        <v>297</v>
      </c>
      <c r="E384" s="9"/>
      <c r="F384" s="7"/>
      <c r="G384" s="7"/>
      <c r="H384" s="9" t="s">
        <v>177</v>
      </c>
      <c r="I384" s="416">
        <f>IF('RAPPORTO ISPEZIONE'!F221&lt;&gt;"",'RAPPORTO ISPEZIONE'!F221,"")</f>
        <v>1E-4</v>
      </c>
      <c r="J384" s="302"/>
      <c r="K384" s="417">
        <f>IF(AND(I384="",J384=""),"",IF(I384="",J384,I384))</f>
        <v>1E-4</v>
      </c>
      <c r="L384" s="33" t="s">
        <v>191</v>
      </c>
    </row>
    <row r="385" spans="1:12" x14ac:dyDescent="0.25">
      <c r="A385" s="1367"/>
      <c r="B385" s="6" t="s">
        <v>332</v>
      </c>
      <c r="C385" s="437">
        <f>IF($O$141="X",IF($H$161="X",IF(C387="X",C384/$O$152,IF(E387="X",C381/$O$152,IF(G387="X",E381/$O$152,IF(I387="X",G381/$O$152,"ERRORE")))),IF($H$158="X",IF(C387="X",C384/$O$149,IF(E387="X",C381/$O$149,IF(G387="X",E381/$O$149,IF(I387="X",G381/$O$149,"ERRORE")))))),"NON SERVE")</f>
        <v>0.05</v>
      </c>
      <c r="D385" s="1363"/>
      <c r="E385" s="9"/>
      <c r="F385" s="7"/>
      <c r="G385" s="7"/>
      <c r="H385" s="9" t="s">
        <v>178</v>
      </c>
      <c r="I385" s="416">
        <f>IF('RAPPORTO ISPEZIONE'!G221&lt;&gt;"",'RAPPORTO ISPEZIONE'!G221,"")</f>
        <v>1E-4</v>
      </c>
      <c r="J385" s="302"/>
      <c r="K385" s="417">
        <f>IF(AND(I385="",J385=""),"",IF(I385="",J385,I385))</f>
        <v>1E-4</v>
      </c>
      <c r="L385" s="420">
        <f>ROUND(AVERAGE(K384,K385,K386),$H$164+2)</f>
        <v>1E-4</v>
      </c>
    </row>
    <row r="386" spans="1:12" x14ac:dyDescent="0.25">
      <c r="A386" s="1367"/>
      <c r="B386" s="27" t="s">
        <v>333</v>
      </c>
      <c r="C386" s="438">
        <f>IF($O$159="X",IF($H$161="X",IF($O$162="X",IF(E386="F-N",C383/$O$171,C383/($O$171*SQRT(3))),IF($O$161="X",IF(E386="F-F",C383/$O$171,"ERRORE"),IF($O$160="X",C383/$O$171))),IF($O$159="X",IF($H$158="X",IF($O$162="X",IF(E386="F-N",C383/$O$167,C383/($O$167*SQRT(3))),IF($O$161="X",IF(E386="F-F",C383/$O$167,"ERRORE"),IF($O$160="X",C383/$O$167)))))))</f>
        <v>0.57700000000000007</v>
      </c>
      <c r="D386" s="1363"/>
      <c r="E386" s="353" t="str">
        <f>E364</f>
        <v>F-N</v>
      </c>
      <c r="F386" s="7"/>
      <c r="G386" s="7"/>
      <c r="H386" s="9" t="s">
        <v>179</v>
      </c>
      <c r="I386" s="416">
        <f>IF('RAPPORTO ISPEZIONE'!H221&lt;&gt;"",'RAPPORTO ISPEZIONE'!H221,"")</f>
        <v>1E-4</v>
      </c>
      <c r="J386" s="302"/>
      <c r="K386" s="417">
        <f>IF(AND(I386="",J386=""),"",IF(I386="",J386,I386))</f>
        <v>1E-4</v>
      </c>
      <c r="L386" s="33"/>
    </row>
    <row r="387" spans="1:12" x14ac:dyDescent="0.25">
      <c r="A387" s="422" t="s">
        <v>286</v>
      </c>
      <c r="B387" s="9" t="s">
        <v>282</v>
      </c>
      <c r="C387" s="12" t="str">
        <f>IF(OR($H$180="X",$H$183="X"),"X",IF($H$186="X",""))</f>
        <v>X</v>
      </c>
      <c r="D387" s="9" t="s">
        <v>283</v>
      </c>
      <c r="E387" s="12"/>
      <c r="F387" s="26" t="s">
        <v>284</v>
      </c>
      <c r="G387" s="12" t="str">
        <f>IF(OR($H$180="X",$H$183="X"),"",IF($H$186="X",""))</f>
        <v/>
      </c>
      <c r="H387" s="28" t="s">
        <v>285</v>
      </c>
      <c r="I387" s="12" t="str">
        <f>IF(OR($H$180="X",$H$183="X"),"",IF($H$186="X",""))</f>
        <v/>
      </c>
      <c r="J387" s="7"/>
      <c r="K387" s="7"/>
      <c r="L387" s="423" t="str">
        <f>IF(B375="X",IF((IF(C387="X",1,0)+IF(E387="X",1,0)+IF(G387="X",1,0)+IF(I387="X",1,0))&lt;&gt;1,"ERRORE",""),"")</f>
        <v/>
      </c>
    </row>
    <row r="388" spans="1:12" x14ac:dyDescent="0.25">
      <c r="A388" s="424"/>
      <c r="B388" s="7"/>
      <c r="C388" s="7"/>
      <c r="D388" s="7"/>
      <c r="E388" s="7"/>
      <c r="F388" s="7"/>
      <c r="G388" s="7"/>
      <c r="H388" s="7"/>
      <c r="I388" s="7"/>
      <c r="J388" s="5"/>
      <c r="K388" s="7"/>
      <c r="L388" s="18"/>
    </row>
    <row r="389" spans="1:12" x14ac:dyDescent="0.25">
      <c r="A389" s="424"/>
      <c r="B389" s="7"/>
      <c r="C389" s="7"/>
      <c r="D389" s="7"/>
      <c r="E389" s="7"/>
      <c r="F389" s="7"/>
      <c r="G389" s="7"/>
      <c r="H389" s="7"/>
      <c r="I389" s="7"/>
      <c r="J389" s="7"/>
      <c r="K389" s="7"/>
      <c r="L389" s="18"/>
    </row>
    <row r="390" spans="1:12" x14ac:dyDescent="0.25">
      <c r="A390" s="411" t="s">
        <v>308</v>
      </c>
      <c r="B390" s="289" t="s">
        <v>1230</v>
      </c>
      <c r="C390" s="434" t="s">
        <v>727</v>
      </c>
      <c r="D390" s="7"/>
      <c r="E390" s="7"/>
      <c r="F390" s="7"/>
      <c r="G390" s="7"/>
      <c r="H390" s="7"/>
      <c r="I390" s="7"/>
      <c r="J390" s="7"/>
      <c r="K390" s="7"/>
      <c r="L390" s="18"/>
    </row>
    <row r="391" spans="1:12" s="3" customFormat="1" x14ac:dyDescent="0.25">
      <c r="A391" s="1364" t="s">
        <v>166</v>
      </c>
      <c r="B391" s="1347" t="s">
        <v>167</v>
      </c>
      <c r="C391" s="2"/>
      <c r="D391" s="1347" t="s">
        <v>168</v>
      </c>
      <c r="E391" s="12"/>
      <c r="F391" s="1347" t="s">
        <v>169</v>
      </c>
      <c r="G391" s="12"/>
      <c r="H391" s="1363" t="s">
        <v>174</v>
      </c>
      <c r="I391" s="2"/>
      <c r="J391" s="7"/>
      <c r="K391" s="7"/>
      <c r="L391" s="412"/>
    </row>
    <row r="392" spans="1:12" s="3" customFormat="1" x14ac:dyDescent="0.25">
      <c r="A392" s="1365"/>
      <c r="B392" s="1348"/>
      <c r="C392" s="439"/>
      <c r="D392" s="1348"/>
      <c r="E392" s="12"/>
      <c r="F392" s="1348"/>
      <c r="G392" s="12"/>
      <c r="H392" s="1363"/>
      <c r="I392" s="12"/>
      <c r="J392" s="7"/>
      <c r="K392" s="7"/>
      <c r="L392" s="412"/>
    </row>
    <row r="393" spans="1:12" s="3" customFormat="1" x14ac:dyDescent="0.25">
      <c r="A393" s="1366"/>
      <c r="B393" s="1349"/>
      <c r="C393" s="439">
        <f>C378</f>
        <v>57.7</v>
      </c>
      <c r="D393" s="1349"/>
      <c r="E393" s="12">
        <f>C393</f>
        <v>57.7</v>
      </c>
      <c r="F393" s="1349"/>
      <c r="G393" s="12">
        <f>E393</f>
        <v>57.7</v>
      </c>
      <c r="H393" s="1363"/>
      <c r="I393" s="12">
        <v>0.5</v>
      </c>
      <c r="J393" s="7"/>
      <c r="K393" s="7"/>
      <c r="L393" s="412"/>
    </row>
    <row r="394" spans="1:12" x14ac:dyDescent="0.25">
      <c r="A394" s="1364" t="s">
        <v>170</v>
      </c>
      <c r="B394" s="1347" t="s">
        <v>171</v>
      </c>
      <c r="C394" s="7"/>
      <c r="D394" s="1347" t="s">
        <v>172</v>
      </c>
      <c r="E394" s="7"/>
      <c r="F394" s="1347" t="s">
        <v>173</v>
      </c>
      <c r="G394" s="7"/>
      <c r="H394" s="1347" t="s">
        <v>175</v>
      </c>
      <c r="I394" s="9"/>
      <c r="J394" s="7"/>
      <c r="K394" s="7"/>
      <c r="L394" s="18"/>
    </row>
    <row r="395" spans="1:12" x14ac:dyDescent="0.25">
      <c r="A395" s="1365"/>
      <c r="B395" s="1348"/>
      <c r="C395" s="2"/>
      <c r="D395" s="1348"/>
      <c r="E395" s="2"/>
      <c r="F395" s="1348"/>
      <c r="G395" s="2"/>
      <c r="H395" s="1348"/>
      <c r="I395" s="12"/>
      <c r="J395" s="7"/>
      <c r="K395" s="7"/>
      <c r="L395" s="18"/>
    </row>
    <row r="396" spans="1:12" x14ac:dyDescent="0.25">
      <c r="A396" s="1366"/>
      <c r="B396" s="1349"/>
      <c r="C396" s="2">
        <f>C381</f>
        <v>0.25</v>
      </c>
      <c r="D396" s="1349"/>
      <c r="E396" s="2">
        <f>C396</f>
        <v>0.25</v>
      </c>
      <c r="F396" s="1349"/>
      <c r="G396" s="2">
        <f>C396</f>
        <v>0.25</v>
      </c>
      <c r="H396" s="1349"/>
      <c r="I396" s="12" t="s">
        <v>185</v>
      </c>
      <c r="J396" s="7"/>
      <c r="K396" s="7"/>
      <c r="L396" s="18"/>
    </row>
    <row r="397" spans="1:12" ht="18" x14ac:dyDescent="0.35">
      <c r="A397" s="1367" t="s">
        <v>8</v>
      </c>
      <c r="B397" s="347" t="s">
        <v>345</v>
      </c>
      <c r="C397" s="435"/>
      <c r="D397" s="436"/>
      <c r="E397" s="2" t="str">
        <f>IF(OR($H$189="A",$H$189="B",$H$189="C"),IF(OR($H$180="X",$H$183="X"),IF(C402="X",IF($H$146="X",(IF($H$161="X",(IF(AND(C399&lt;$H$194,C399&gt;=$H$193),"SI","NO")),(IF($H$158="X",IF(AND((C399*$O$152/$O$149)&lt;$H$194,(C399*$O$152/$O$149)&gt;=$H$193),"SI","NO"),"ERRORE")))),IF($H$143="X",IF($H$158="X",(IF(AND(C399&lt;$H$194,C399&gt;=$H$193),"SI","NO")),"ERRORE"),"ERRORE")),"NON SERVE"),IF($H$186="X",IF($H$146="X",(IF($H$161="X",(IF(AND(MAX(C396,E396,G396,)&lt;$H$194,MAX(C396,E396,G396)&gt;=$H$193),"SI","NO")),(IF($H$158="X",IF(AND((MAX(C396,E396,G396)*$O$152/$O$149)&lt;$H$194,(MAX(C396,E396,G396)*$O$152/$O$149)&gt;=$H$193),"SI","NO"),"ERRORE")))),IF($H$143="X",IF($H$158="X",(IF(AND(MAX(C396,E396,G396)&lt;$H$194,MAX(C396,E396,G396)&gt;=$H$193),"SI","NO")),"ERRORE"),"ERRORE")))),"NON SERVE")</f>
        <v>NO</v>
      </c>
      <c r="F397" s="347" t="s">
        <v>322</v>
      </c>
      <c r="G397" s="4"/>
      <c r="H397" s="4"/>
      <c r="I397" s="2" t="str">
        <f>IF($H$189="0,2S",IF(OR($H$180="X",$H$183="X"),IF(C402="X",IF($H$146="X",(IF($H$161="X",(IF(AND(C399&lt;0.1*$H$192,C399&gt;=$H$193),"SI","NO")),(IF($H$158="X",IF(AND((C399*$O$152/$O$149)&lt;0.1*$H$192,(C399*$O$152/$O$149)&gt;=$H$193),"SI","NO"),"ERRORE")))),IF($H$143="X",IF($H$158="X",(IF(AND(C399&lt;0.1*$H$192,C399&gt;=$H$193),"SI","NO")),"ERRORE"),"ERRORE")),"NON SERVE"),IF($H$186="X",IF($H$146="X",(IF($H$161="X",(IF(AND(MAX(C396,E396,G396,)&lt;0.1*$H$192,MAX(C396,E396,G396)&gt;=$H$193),"SI","NO")),(IF($H$158="X",IF(AND((MAX(C396,E396,G396)*$O$152/$O$149)&lt;0.1*$H$192,(MAX(C396,E396,G396)*$O$152/$O$149)&gt;=$H$193),"SI","NO"),"ERRORE")))),IF($H$143="X",IF($H$158="X",(IF(AND(MAX(C396,E396,G396)&lt;0.1*$H$192,MAX(C396,E396,G396)&gt;=$H$193),"SI","NO")),"ERRORE"),"ERRORE")))),"NON SERVE")</f>
        <v>NON SERVE</v>
      </c>
      <c r="J397" s="7"/>
      <c r="K397" s="7"/>
      <c r="L397" s="18"/>
    </row>
    <row r="398" spans="1:12" x14ac:dyDescent="0.25">
      <c r="A398" s="1367"/>
      <c r="B398" s="9" t="s">
        <v>188</v>
      </c>
      <c r="C398" s="9">
        <f>ROUND(AVERAGE(C393,E393,G393),$H$163)</f>
        <v>57.7</v>
      </c>
      <c r="D398" s="9"/>
      <c r="E398" s="9"/>
      <c r="F398" s="352" t="s">
        <v>550</v>
      </c>
      <c r="G398" s="12" t="str">
        <f>G383</f>
        <v>A+</v>
      </c>
      <c r="H398" s="124" t="s">
        <v>238</v>
      </c>
      <c r="I398" s="12" t="str">
        <f>I383</f>
        <v>1.8.0</v>
      </c>
      <c r="J398" s="7"/>
      <c r="K398" s="7"/>
      <c r="L398" s="18"/>
    </row>
    <row r="399" spans="1:12" x14ac:dyDescent="0.25">
      <c r="A399" s="1367"/>
      <c r="B399" s="9" t="s">
        <v>189</v>
      </c>
      <c r="C399" s="440">
        <f>ROUND(AVERAGE(C396,E396,G396),$H$162)</f>
        <v>0.25</v>
      </c>
      <c r="D399" s="1363" t="s">
        <v>297</v>
      </c>
      <c r="E399" s="9"/>
      <c r="F399" s="7"/>
      <c r="G399" s="7"/>
      <c r="H399" s="9" t="s">
        <v>177</v>
      </c>
      <c r="I399" s="416">
        <f>IF('RAPPORTO ISPEZIONE'!F222&lt;&gt;"",'RAPPORTO ISPEZIONE'!F222,"")</f>
        <v>2.0000000000000001E-4</v>
      </c>
      <c r="J399" s="302"/>
      <c r="K399" s="417">
        <f>IF(AND(I399="",J399=""),"",IF(I399="",J399,I399))</f>
        <v>2.0000000000000001E-4</v>
      </c>
      <c r="L399" s="33" t="s">
        <v>191</v>
      </c>
    </row>
    <row r="400" spans="1:12" x14ac:dyDescent="0.25">
      <c r="A400" s="1367"/>
      <c r="B400" s="6" t="s">
        <v>332</v>
      </c>
      <c r="C400" s="441">
        <f>IF($O$141="X",IF($H$161="X",IF(C402="X",C399/$O$152,IF(E402="X",C396/$O$152,IF(G402="X",E396/$O$152,IF(I402="X",G396/$O$152,"ERRORE")))),IF($H$158="X",IF(C402="X",C399/$O$149,IF(E402="X",C396/$O$149,IF(G402="X",E396/$O$149,IF(I402="X",G396/$O$149,"ERRORE")))))),"NON SERVE")</f>
        <v>0.05</v>
      </c>
      <c r="D400" s="1363"/>
      <c r="E400" s="9"/>
      <c r="F400" s="7"/>
      <c r="G400" s="7"/>
      <c r="H400" s="9" t="s">
        <v>178</v>
      </c>
      <c r="I400" s="416">
        <f>IF('RAPPORTO ISPEZIONE'!G222&lt;&gt;"",'RAPPORTO ISPEZIONE'!G222,"")</f>
        <v>2.0000000000000001E-4</v>
      </c>
      <c r="J400" s="302"/>
      <c r="K400" s="417">
        <f>IF(AND(I400="",J400=""),"",IF(I400="",J400,I400))</f>
        <v>2.0000000000000001E-4</v>
      </c>
      <c r="L400" s="420">
        <f>ROUND(AVERAGE(K399,K400,K401),$H$164+2)</f>
        <v>2.0000000000000001E-4</v>
      </c>
    </row>
    <row r="401" spans="1:12" x14ac:dyDescent="0.25">
      <c r="A401" s="1367"/>
      <c r="B401" s="27" t="s">
        <v>333</v>
      </c>
      <c r="C401" s="442">
        <f>IF($O$159="X",IF($H$161="X",IF($O$162="X",IF(E401="F-N",C398/$O$171,C398/($O$171*SQRT(3))),IF($O$161="X",IF(E401="F-F",C398/$O$171,"ERRORE"),IF($O$160="X",C398/$O$171))),IF($O$159="X",IF($H$158="X",IF($O$162="X",IF(E401="F-N",C398/$O$167,C398/($O$167*SQRT(3))),IF($O$161="X",IF(E401="F-F",C398/$O$167,"ERRORE"),IF($O$160="X",C398/$O$167)))))))</f>
        <v>0.57700000000000007</v>
      </c>
      <c r="D401" s="1363"/>
      <c r="E401" s="353" t="str">
        <f>E386</f>
        <v>F-N</v>
      </c>
      <c r="F401" s="7"/>
      <c r="G401" s="7"/>
      <c r="H401" s="9" t="s">
        <v>179</v>
      </c>
      <c r="I401" s="416">
        <f>IF('RAPPORTO ISPEZIONE'!H222&lt;&gt;"",'RAPPORTO ISPEZIONE'!H222,"")</f>
        <v>2.0000000000000001E-4</v>
      </c>
      <c r="J401" s="302"/>
      <c r="K401" s="417">
        <f>IF(AND(I401="",J401=""),"",IF(I401="",J401,I401))</f>
        <v>2.0000000000000001E-4</v>
      </c>
      <c r="L401" s="33"/>
    </row>
    <row r="402" spans="1:12" x14ac:dyDescent="0.25">
      <c r="A402" s="422" t="s">
        <v>286</v>
      </c>
      <c r="B402" s="9" t="s">
        <v>282</v>
      </c>
      <c r="C402" s="12" t="str">
        <f>IF(OR($H$180="X",$H$183="X"),"X",IF($H$186="X",""))</f>
        <v>X</v>
      </c>
      <c r="D402" s="9" t="s">
        <v>283</v>
      </c>
      <c r="E402" s="12" t="str">
        <f>IF(OR($H$180="X",$H$183="X"),"",IF($H$186="X","X"))</f>
        <v/>
      </c>
      <c r="F402" s="26" t="s">
        <v>284</v>
      </c>
      <c r="G402" s="12" t="str">
        <f>IF(OR($H$180="X",$H$183="X"),"",IF($H$186="X",""))</f>
        <v/>
      </c>
      <c r="H402" s="28" t="s">
        <v>285</v>
      </c>
      <c r="I402" s="12" t="str">
        <f>IF(OR($H$180="X",$H$183="X"),"",IF($H$186="X",""))</f>
        <v/>
      </c>
      <c r="J402" s="7"/>
      <c r="K402" s="7"/>
      <c r="L402" s="423" t="str">
        <f>IF(B390="X",IF((IF(C402="X",1,0)+IF(E402="X",1,0)+IF(G402="X",1,0)+IF(I402="X",1,0))&lt;&gt;1,"ERRORE",""),"")</f>
        <v/>
      </c>
    </row>
    <row r="403" spans="1:12" x14ac:dyDescent="0.25">
      <c r="A403" s="424"/>
      <c r="B403" s="7"/>
      <c r="C403" s="7"/>
      <c r="D403" s="7"/>
      <c r="E403" s="7"/>
      <c r="F403" s="7"/>
      <c r="G403" s="7"/>
      <c r="H403" s="7"/>
      <c r="I403" s="7"/>
      <c r="J403" s="7"/>
      <c r="K403" s="7"/>
      <c r="L403" s="18"/>
    </row>
    <row r="404" spans="1:12" x14ac:dyDescent="0.25">
      <c r="A404" s="424"/>
      <c r="B404" s="7"/>
      <c r="C404" s="7"/>
      <c r="D404" s="443"/>
      <c r="E404" s="7"/>
      <c r="F404" s="7"/>
      <c r="G404" s="444"/>
      <c r="H404" s="7"/>
      <c r="I404" s="7"/>
      <c r="J404" s="7"/>
      <c r="K404" s="7"/>
      <c r="L404" s="18"/>
    </row>
    <row r="405" spans="1:12" x14ac:dyDescent="0.25">
      <c r="A405" s="411" t="s">
        <v>309</v>
      </c>
      <c r="B405" s="289" t="s">
        <v>1230</v>
      </c>
      <c r="C405" s="434" t="s">
        <v>726</v>
      </c>
      <c r="D405" s="7"/>
      <c r="E405" s="7"/>
      <c r="F405" s="7"/>
      <c r="G405" s="7"/>
      <c r="H405" s="7"/>
      <c r="I405" s="7"/>
      <c r="J405" s="7"/>
      <c r="K405" s="7"/>
      <c r="L405" s="18"/>
    </row>
    <row r="406" spans="1:12" s="3" customFormat="1" x14ac:dyDescent="0.25">
      <c r="A406" s="1364" t="s">
        <v>166</v>
      </c>
      <c r="B406" s="1347" t="s">
        <v>167</v>
      </c>
      <c r="C406" s="2"/>
      <c r="D406" s="1363" t="s">
        <v>168</v>
      </c>
      <c r="E406" s="2"/>
      <c r="F406" s="1363" t="s">
        <v>169</v>
      </c>
      <c r="G406" s="2"/>
      <c r="H406" s="1363" t="s">
        <v>174</v>
      </c>
      <c r="I406" s="2"/>
      <c r="J406" s="7"/>
      <c r="K406" s="7"/>
      <c r="L406" s="412"/>
    </row>
    <row r="407" spans="1:12" s="3" customFormat="1" x14ac:dyDescent="0.25">
      <c r="A407" s="1365"/>
      <c r="B407" s="1348"/>
      <c r="C407" s="439"/>
      <c r="D407" s="1363"/>
      <c r="E407" s="439"/>
      <c r="F407" s="1363"/>
      <c r="G407" s="439"/>
      <c r="H407" s="1363"/>
      <c r="I407" s="12"/>
      <c r="J407" s="7"/>
      <c r="K407" s="7"/>
      <c r="L407" s="412"/>
    </row>
    <row r="408" spans="1:12" s="3" customFormat="1" x14ac:dyDescent="0.25">
      <c r="A408" s="1366"/>
      <c r="B408" s="1349"/>
      <c r="C408" s="439">
        <f>C393</f>
        <v>57.7</v>
      </c>
      <c r="D408" s="1363"/>
      <c r="E408" s="439">
        <f>E393</f>
        <v>57.7</v>
      </c>
      <c r="F408" s="1363"/>
      <c r="G408" s="439">
        <f>G393</f>
        <v>57.7</v>
      </c>
      <c r="H408" s="1363"/>
      <c r="I408" s="12">
        <v>1</v>
      </c>
      <c r="J408" s="7"/>
      <c r="K408" s="7"/>
      <c r="L408" s="412"/>
    </row>
    <row r="409" spans="1:12" ht="15" customHeight="1" x14ac:dyDescent="0.25">
      <c r="A409" s="1364" t="s">
        <v>170</v>
      </c>
      <c r="B409" s="1347" t="s">
        <v>171</v>
      </c>
      <c r="C409" s="383">
        <f>IF('RAPPORTO ISPEZIONE'!C223&lt;&gt;"",'RAPPORTO ISPEZIONE'!C223,"")</f>
        <v>1</v>
      </c>
      <c r="D409" s="1363" t="s">
        <v>172</v>
      </c>
      <c r="E409" s="353">
        <f>C409</f>
        <v>1</v>
      </c>
      <c r="F409" s="1363" t="s">
        <v>173</v>
      </c>
      <c r="G409" s="353">
        <f>E409</f>
        <v>1</v>
      </c>
      <c r="H409" s="1347" t="s">
        <v>175</v>
      </c>
      <c r="I409" s="9"/>
      <c r="J409" s="7"/>
      <c r="K409" s="7"/>
      <c r="L409" s="18"/>
    </row>
    <row r="410" spans="1:12" ht="15" customHeight="1" x14ac:dyDescent="0.25">
      <c r="A410" s="1365"/>
      <c r="B410" s="1348"/>
      <c r="C410" s="301"/>
      <c r="D410" s="1363"/>
      <c r="E410" s="353">
        <f>C410</f>
        <v>0</v>
      </c>
      <c r="F410" s="1363"/>
      <c r="G410" s="353">
        <f>E410</f>
        <v>0</v>
      </c>
      <c r="H410" s="1348"/>
      <c r="I410" s="12"/>
      <c r="J410" s="7"/>
      <c r="K410" s="7"/>
      <c r="L410" s="18"/>
    </row>
    <row r="411" spans="1:12" ht="15" customHeight="1" x14ac:dyDescent="0.25">
      <c r="A411" s="1366"/>
      <c r="B411" s="1349"/>
      <c r="C411" s="12">
        <f>IF(C409="",IF(C410="","",C410),C409)</f>
        <v>1</v>
      </c>
      <c r="D411" s="1363"/>
      <c r="E411" s="353">
        <f>C411</f>
        <v>1</v>
      </c>
      <c r="F411" s="1363"/>
      <c r="G411" s="353">
        <f>E411</f>
        <v>1</v>
      </c>
      <c r="H411" s="1349"/>
      <c r="I411" s="12" t="s">
        <v>185</v>
      </c>
      <c r="J411" s="7"/>
      <c r="K411" s="7"/>
      <c r="L411" s="18"/>
    </row>
    <row r="412" spans="1:12" ht="15" customHeight="1" x14ac:dyDescent="0.35">
      <c r="A412" s="1367" t="s">
        <v>8</v>
      </c>
      <c r="B412" s="347" t="s">
        <v>345</v>
      </c>
      <c r="C412" s="435"/>
      <c r="D412" s="436"/>
      <c r="E412" s="2" t="str">
        <f>IF(OR($H$189="A",$H$189="B",$H$189="C"),IF(OR($H$180="X",$H$183="X"),IF(C417="X",IF($H$146="X",(IF($H$161="X",(IF(AND(C414&lt;$H$194,C414&gt;=$H$193),"SI","NO")),(IF($H$158="X",IF(AND((C414*$O$152/$O$149)&lt;$H$194,(C414*$O$152/$O$149)&gt;=$H$193),"SI","NO"),"ERRORE")))),IF($H$143="X",IF($H$158="X",(IF(AND(C414&lt;$H$194,C414&gt;=$H$193),"SI","NO")),"ERRORE"),"ERRORE")),"NON SERVE"),IF($H$186="X",IF($H$146="X",(IF($H$161="X",(IF(AND(MAX(C411,E411,G411,)&lt;$H$194,MAX(C411,E411,G411)&gt;=$H$193),"SI","NO")),(IF($H$158="X",IF(AND((MAX(C411,E411,G411)*$O$152/$O$149)&lt;$H$194,(MAX(C411,E411,G411)*$O$152/$O$149)&gt;=$H$193),"SI","NO"),"ERRORE")))),IF($H$143="X",IF($H$158="X",(IF(AND(MAX(C411,E411,G411)&lt;$H$194,MAX(C411,E411,G411)&gt;=$H$193),"SI","NO")),"ERRORE"),"ERRORE")))),"NON SERVE")</f>
        <v>NO</v>
      </c>
      <c r="F412" s="347" t="s">
        <v>322</v>
      </c>
      <c r="G412" s="4"/>
      <c r="H412" s="4"/>
      <c r="I412" s="2" t="str">
        <f>IF($H$189="0,2S",IF(OR($H$180="X",$H$183="X"),IF(C417="X",IF($H$146="X",(IF($H$161="X",(IF(AND(C414&lt;0.1*$H$192,C414&gt;=$H$193),"SI","NO")),(IF($H$158="X",IF(AND((C414*$O$152/$O$149)&lt;0.1*$H$192,(C414*$O$152/$O$149)&gt;=$H$193),"SI","NO"),"ERRORE")))),IF($H$143="X",IF($H$158="X",(IF(AND(C414&lt;0.1*$H$192,C414&gt;=$H$193),"SI","NO")),"ERRORE"),"ERRORE")),"NON SERVE"),IF($H$186="X",IF($H$146="X",(IF($H$161="X",(IF(AND(MAX(C411,E411,G411,)&lt;0.1*$H$192,MAX(C411,E411,G411)&gt;=$H$193),"SI","NO")),(IF($H$158="X",IF(AND((MAX(C411,E411,G411)*$O$152/$O$149)&lt;0.1*$H$192,(MAX(C411,E411,G411)*$O$152/$O$149)&gt;=$H$193),"SI","NO"),"ERRORE")))),IF($H$143="X",IF($H$158="X",(IF(AND(MAX(C411,E411,G411)&lt;0.1*$H$192,MAX(C411,E411,G411)&gt;=$H$193),"SI","NO")),"ERRORE"),"ERRORE")))),"NON SERVE")</f>
        <v>NON SERVE</v>
      </c>
      <c r="J412" s="7"/>
      <c r="K412" s="7"/>
      <c r="L412" s="18"/>
    </row>
    <row r="413" spans="1:12" ht="15" customHeight="1" x14ac:dyDescent="0.25">
      <c r="A413" s="1367"/>
      <c r="B413" s="9" t="s">
        <v>188</v>
      </c>
      <c r="C413" s="9">
        <f>ROUND(AVERAGE(C408,E408,G408),$H$163)</f>
        <v>57.7</v>
      </c>
      <c r="D413" s="9"/>
      <c r="E413" s="9"/>
      <c r="F413" s="351" t="s">
        <v>550</v>
      </c>
      <c r="G413" s="12" t="str">
        <f>G398</f>
        <v>A+</v>
      </c>
      <c r="H413" s="124" t="s">
        <v>238</v>
      </c>
      <c r="I413" s="12" t="str">
        <f>I398</f>
        <v>1.8.0</v>
      </c>
      <c r="J413" s="7"/>
      <c r="K413" s="7"/>
      <c r="L413" s="18"/>
    </row>
    <row r="414" spans="1:12" ht="15" customHeight="1" x14ac:dyDescent="0.25">
      <c r="A414" s="1367"/>
      <c r="B414" s="9" t="s">
        <v>189</v>
      </c>
      <c r="C414" s="440">
        <f>ROUND(AVERAGE(C411,E411,G411),$H$162)</f>
        <v>1</v>
      </c>
      <c r="D414" s="1363" t="s">
        <v>297</v>
      </c>
      <c r="E414" s="9"/>
      <c r="F414" s="7"/>
      <c r="G414" s="7"/>
      <c r="H414" s="9" t="s">
        <v>177</v>
      </c>
      <c r="I414" s="416">
        <f>IF('RAPPORTO ISPEZIONE'!F223&lt;&gt;"",'RAPPORTO ISPEZIONE'!F223,"")</f>
        <v>2.9999999999999997E-4</v>
      </c>
      <c r="J414" s="302"/>
      <c r="K414" s="417">
        <f>IF(AND(I414="",J414=""),"",IF(I414="",J414,I414))</f>
        <v>2.9999999999999997E-4</v>
      </c>
      <c r="L414" s="33" t="s">
        <v>191</v>
      </c>
    </row>
    <row r="415" spans="1:12" ht="15" customHeight="1" x14ac:dyDescent="0.25">
      <c r="A415" s="1367"/>
      <c r="B415" s="6" t="s">
        <v>332</v>
      </c>
      <c r="C415" s="441">
        <f>IF($O$141="X",IF($H$161="X",IF(C417="X",C414/$O$152,IF(E417="X",C411/$O$152,IF(G417="X",E411/$O$152,IF(I417="X",G411/$O$152,"ERRORE")))),IF($H$158="X",IF(C417="X",C414/$O$149,IF(E417="X",C411/$O$149,IF(G417="X",E411/$O$149,IF(I417="X",G411/$O$149,"ERRORE")))))),"NON SERVE")</f>
        <v>0.2</v>
      </c>
      <c r="D415" s="1363"/>
      <c r="E415" s="9"/>
      <c r="F415" s="7"/>
      <c r="G415" s="7"/>
      <c r="H415" s="9" t="s">
        <v>178</v>
      </c>
      <c r="I415" s="416">
        <f>IF('RAPPORTO ISPEZIONE'!G223&lt;&gt;"",'RAPPORTO ISPEZIONE'!G223,"")</f>
        <v>2.9999999999999997E-4</v>
      </c>
      <c r="J415" s="302"/>
      <c r="K415" s="417">
        <f>IF(AND(I415="",J415=""),"",IF(I415="",J415,I415))</f>
        <v>2.9999999999999997E-4</v>
      </c>
      <c r="L415" s="420">
        <f>ROUND(AVERAGE(K414,K415,K416),$H$164+2)</f>
        <v>2.9999999999999997E-4</v>
      </c>
    </row>
    <row r="416" spans="1:12" ht="15" customHeight="1" x14ac:dyDescent="0.25">
      <c r="A416" s="1367"/>
      <c r="B416" s="27" t="s">
        <v>333</v>
      </c>
      <c r="C416" s="442">
        <f>IF($O$159="X",IF($H$161="X",IF($O$162="X",IF(E416="F-N",C413/$O$171,C413/($O$171*SQRT(3))),IF($O$161="X",IF(E416="F-F",C413/$O$171,"ERRORE"),IF($O$160="X",C413/$O$171))),IF($O$159="X",IF($H$158="X",IF($O$162="X",IF(E416="F-N",C413/$O$167,C413/($O$167*SQRT(3))),IF($O$161="X",IF(E416="F-F",C413/$O$167,"ERRORE"),IF($O$160="X",C413/$O$167)))))))</f>
        <v>0.57700000000000007</v>
      </c>
      <c r="D416" s="1363"/>
      <c r="E416" s="353" t="str">
        <f>E401</f>
        <v>F-N</v>
      </c>
      <c r="F416" s="7"/>
      <c r="G416" s="7"/>
      <c r="H416" s="9" t="s">
        <v>179</v>
      </c>
      <c r="I416" s="416">
        <f>IF('RAPPORTO ISPEZIONE'!H223&lt;&gt;"",'RAPPORTO ISPEZIONE'!H223,"")</f>
        <v>2.9999999999999997E-4</v>
      </c>
      <c r="J416" s="302"/>
      <c r="K416" s="417">
        <f>IF(AND(I416="",J416=""),"",IF(I416="",J416,I416))</f>
        <v>2.9999999999999997E-4</v>
      </c>
      <c r="L416" s="33"/>
    </row>
    <row r="417" spans="1:12" ht="18" customHeight="1" x14ac:dyDescent="0.25">
      <c r="A417" s="422" t="s">
        <v>286</v>
      </c>
      <c r="B417" s="9" t="s">
        <v>282</v>
      </c>
      <c r="C417" s="12" t="str">
        <f>IF(OR($H$180="X",$H$183="X"),"X",IF($H$186="X",""))</f>
        <v>X</v>
      </c>
      <c r="D417" s="9" t="s">
        <v>283</v>
      </c>
      <c r="E417" s="12" t="str">
        <f>IF(OR($H$180="X",$H$183="X"),"",IF($H$186="X","X"))</f>
        <v/>
      </c>
      <c r="F417" s="26" t="s">
        <v>284</v>
      </c>
      <c r="G417" s="12" t="str">
        <f>IF(OR($H$180="X",$H$183="X"),"",IF($H$186="X",""))</f>
        <v/>
      </c>
      <c r="H417" s="28" t="s">
        <v>285</v>
      </c>
      <c r="I417" s="12" t="str">
        <f>IF(OR($H$180="X",$H$183="X"),"",IF($H$186="X",""))</f>
        <v/>
      </c>
      <c r="J417" s="7"/>
      <c r="K417" s="7"/>
      <c r="L417" s="423" t="str">
        <f>IF(B405="X",IF((IF(C417="X",1,0)+IF(E417="X",1,0)+IF(G417="X",1,0)+IF(I417="X",1,0))&lt;&gt;1,"ERRORE",""),"")</f>
        <v/>
      </c>
    </row>
    <row r="418" spans="1:12" x14ac:dyDescent="0.25">
      <c r="A418" s="424"/>
      <c r="B418" s="7"/>
      <c r="C418" s="7"/>
      <c r="D418" s="7"/>
      <c r="E418" s="7"/>
      <c r="F418" s="7"/>
      <c r="G418" s="7"/>
      <c r="H418" s="7"/>
      <c r="I418" s="7"/>
      <c r="J418" s="5"/>
      <c r="K418" s="7"/>
      <c r="L418" s="18"/>
    </row>
    <row r="419" spans="1:12" x14ac:dyDescent="0.25">
      <c r="A419" s="424"/>
      <c r="B419" s="7"/>
      <c r="C419" s="7"/>
      <c r="D419" s="7"/>
      <c r="E419" s="7"/>
      <c r="F419" s="7"/>
      <c r="G419" s="7"/>
      <c r="H419" s="7"/>
      <c r="I419" s="7"/>
      <c r="J419" s="7"/>
      <c r="K419" s="7"/>
      <c r="L419" s="18"/>
    </row>
    <row r="420" spans="1:12" x14ac:dyDescent="0.25">
      <c r="A420" s="411" t="s">
        <v>310</v>
      </c>
      <c r="B420" s="289" t="s">
        <v>1230</v>
      </c>
      <c r="C420" s="434" t="s">
        <v>725</v>
      </c>
      <c r="D420" s="7"/>
      <c r="E420" s="7"/>
      <c r="F420" s="7"/>
      <c r="G420" s="7"/>
      <c r="H420" s="7"/>
      <c r="I420" s="7"/>
      <c r="J420" s="7"/>
      <c r="K420" s="7"/>
      <c r="L420" s="18"/>
    </row>
    <row r="421" spans="1:12" s="3" customFormat="1" x14ac:dyDescent="0.25">
      <c r="A421" s="1364" t="s">
        <v>166</v>
      </c>
      <c r="B421" s="1347" t="s">
        <v>167</v>
      </c>
      <c r="C421" s="2"/>
      <c r="D421" s="1363" t="s">
        <v>168</v>
      </c>
      <c r="E421" s="2"/>
      <c r="F421" s="1363" t="s">
        <v>169</v>
      </c>
      <c r="G421" s="2"/>
      <c r="H421" s="1363" t="s">
        <v>174</v>
      </c>
      <c r="I421" s="2"/>
      <c r="J421" s="7"/>
      <c r="K421" s="7"/>
      <c r="L421" s="412"/>
    </row>
    <row r="422" spans="1:12" s="3" customFormat="1" x14ac:dyDescent="0.25">
      <c r="A422" s="1365"/>
      <c r="B422" s="1348"/>
      <c r="C422" s="439"/>
      <c r="D422" s="1363"/>
      <c r="E422" s="439"/>
      <c r="F422" s="1363"/>
      <c r="G422" s="439"/>
      <c r="H422" s="1363"/>
      <c r="I422" s="12"/>
      <c r="J422" s="7"/>
      <c r="K422" s="7"/>
      <c r="L422" s="412"/>
    </row>
    <row r="423" spans="1:12" s="3" customFormat="1" x14ac:dyDescent="0.25">
      <c r="A423" s="1366"/>
      <c r="B423" s="1349"/>
      <c r="C423" s="439">
        <f>C408</f>
        <v>57.7</v>
      </c>
      <c r="D423" s="1363"/>
      <c r="E423" s="439">
        <f>E408</f>
        <v>57.7</v>
      </c>
      <c r="F423" s="1363"/>
      <c r="G423" s="439">
        <f>G408</f>
        <v>57.7</v>
      </c>
      <c r="H423" s="1363"/>
      <c r="I423" s="12">
        <v>0.5</v>
      </c>
      <c r="J423" s="7"/>
      <c r="K423" s="7"/>
      <c r="L423" s="412"/>
    </row>
    <row r="424" spans="1:12" x14ac:dyDescent="0.25">
      <c r="A424" s="1364" t="s">
        <v>170</v>
      </c>
      <c r="B424" s="1347" t="s">
        <v>171</v>
      </c>
      <c r="C424" s="7"/>
      <c r="D424" s="1347" t="s">
        <v>172</v>
      </c>
      <c r="E424" s="7"/>
      <c r="F424" s="1347" t="s">
        <v>173</v>
      </c>
      <c r="G424" s="7"/>
      <c r="H424" s="1347" t="s">
        <v>175</v>
      </c>
      <c r="I424" s="9"/>
      <c r="J424" s="7"/>
      <c r="K424" s="7"/>
      <c r="L424" s="18"/>
    </row>
    <row r="425" spans="1:12" x14ac:dyDescent="0.25">
      <c r="A425" s="1365"/>
      <c r="B425" s="1348"/>
      <c r="C425" s="2"/>
      <c r="D425" s="1348"/>
      <c r="E425" s="2"/>
      <c r="F425" s="1348"/>
      <c r="G425" s="2"/>
      <c r="H425" s="1348"/>
      <c r="I425" s="12"/>
      <c r="J425" s="7"/>
      <c r="K425" s="7"/>
      <c r="L425" s="18"/>
    </row>
    <row r="426" spans="1:12" x14ac:dyDescent="0.25">
      <c r="A426" s="1366"/>
      <c r="B426" s="1349"/>
      <c r="C426" s="2">
        <f>C411</f>
        <v>1</v>
      </c>
      <c r="D426" s="1349"/>
      <c r="E426" s="2">
        <f>C426</f>
        <v>1</v>
      </c>
      <c r="F426" s="1349"/>
      <c r="G426" s="2">
        <f>C426</f>
        <v>1</v>
      </c>
      <c r="H426" s="1349"/>
      <c r="I426" s="12" t="s">
        <v>185</v>
      </c>
      <c r="J426" s="7"/>
      <c r="K426" s="7"/>
      <c r="L426" s="18"/>
    </row>
    <row r="427" spans="1:12" ht="18" x14ac:dyDescent="0.35">
      <c r="A427" s="1367" t="s">
        <v>8</v>
      </c>
      <c r="B427" s="347" t="s">
        <v>345</v>
      </c>
      <c r="C427" s="435"/>
      <c r="D427" s="436"/>
      <c r="E427" s="2" t="str">
        <f>IF(OR($H$189="A",$H$189="B",$H$189="C"),IF(OR($H$180="X",$H$183="X"),IF(C432="X",IF($H$146="X",(IF($H$161="X",(IF(AND(C429&lt;$H$194,C429&gt;=$H$193),"SI","NO")),(IF($H$158="X",IF(AND((C429*$O$152/$O$149)&lt;$H$194,(C429*$O$152/$O$149)&gt;=$H$193),"SI","NO"),"ERRORE")))),IF($H$143="X",IF($H$158="X",(IF(AND(C429&lt;$H$194,C429&gt;=$H$193),"SI","NO")),"ERRORE"),"ERRORE")),"NON SERVE"),IF($H$186="X",IF($H$146="X",(IF($H$161="X",(IF(AND(MAX(C426,E426,G426,)&lt;$H$194,MAX(C426,E426,G426)&gt;=$H$193),"SI","NO")),(IF($H$158="X",IF(AND((MAX(C426,E426,G426)*$O$152/$O$149)&lt;$H$194,(MAX(C426,E426,G426)*$O$152/$O$149)&gt;=$H$193),"SI","NO"),"ERRORE")))),IF($H$143="X",IF($H$158="X",(IF(AND(MAX(C426,E426,G426)&lt;$H$194,MAX(C426,E426,G426)&gt;=$H$193),"SI","NO")),"ERRORE"),"ERRORE")))),"NON SERVE")</f>
        <v>NO</v>
      </c>
      <c r="F427" s="347" t="s">
        <v>322</v>
      </c>
      <c r="G427" s="4"/>
      <c r="H427" s="4"/>
      <c r="I427" s="2" t="str">
        <f>IF($H$189="0,2S",IF(OR($H$180="X",$H$183="X"),IF(C432="X",IF($H$146="X",(IF($H$161="X",(IF(AND(C429&lt;0.1*$H$192,C429&gt;=$H$193),"SI","NO")),(IF($H$158="X",IF(AND((C429*$O$152/$O$149)&lt;0.1*$H$192,(C429*$O$152/$O$149)&gt;=$H$193),"SI","NO"),"ERRORE")))),IF($H$143="X",IF($H$158="X",(IF(AND(C429&lt;0.1*$H$192,C429&gt;=$H$193),"SI","NO")),"ERRORE"),"ERRORE")),"NON SERVE"),IF($H$186="X",IF($H$146="X",(IF($H$161="X",(IF(AND(MAX(C426,E426,G426,)&lt;0.1*$H$192,MAX(C426,E426,G426)&gt;=$H$193),"SI","NO")),(IF($H$158="X",IF(AND((MAX(C426,E426,G426)*$O$152/$O$149)&lt;0.1*$H$192,(MAX(C426,E426,G426)*$O$152/$O$149)&gt;=$H$193),"SI","NO"),"ERRORE")))),IF($H$143="X",IF($H$158="X",(IF(AND(MAX(C426,E426,G426)&lt;0.1*$H$192,MAX(C426,E426,G426)&gt;=$H$193),"SI","NO")),"ERRORE"),"ERRORE")))),"NON SERVE")</f>
        <v>NON SERVE</v>
      </c>
      <c r="J427" s="7"/>
      <c r="K427" s="7"/>
      <c r="L427" s="18"/>
    </row>
    <row r="428" spans="1:12" ht="15" customHeight="1" x14ac:dyDescent="0.25">
      <c r="A428" s="1367"/>
      <c r="B428" s="9" t="s">
        <v>188</v>
      </c>
      <c r="C428" s="9">
        <f>ROUND(AVERAGE(C423,E423,G423),$H$163)</f>
        <v>57.7</v>
      </c>
      <c r="D428" s="9"/>
      <c r="E428" s="9"/>
      <c r="F428" s="352" t="s">
        <v>550</v>
      </c>
      <c r="G428" s="12" t="str">
        <f>G413</f>
        <v>A+</v>
      </c>
      <c r="H428" s="124" t="s">
        <v>238</v>
      </c>
      <c r="I428" s="12" t="str">
        <f>I413</f>
        <v>1.8.0</v>
      </c>
      <c r="J428" s="7"/>
      <c r="K428" s="7"/>
      <c r="L428" s="18"/>
    </row>
    <row r="429" spans="1:12" ht="15" customHeight="1" x14ac:dyDescent="0.25">
      <c r="A429" s="1367"/>
      <c r="B429" s="9" t="s">
        <v>189</v>
      </c>
      <c r="C429" s="440">
        <f>ROUND(AVERAGE(C426,E426,G426),$H$162)</f>
        <v>1</v>
      </c>
      <c r="D429" s="1363" t="s">
        <v>297</v>
      </c>
      <c r="E429" s="9"/>
      <c r="F429" s="7"/>
      <c r="G429" s="7"/>
      <c r="H429" s="9" t="s">
        <v>177</v>
      </c>
      <c r="I429" s="416">
        <f>IF('RAPPORTO ISPEZIONE'!F224&lt;&gt;"",'RAPPORTO ISPEZIONE'!F224,"")</f>
        <v>4.0000000000000002E-4</v>
      </c>
      <c r="J429" s="302"/>
      <c r="K429" s="417">
        <f>IF(AND(I429="",J429=""),"",IF(I429="",J429,I429))</f>
        <v>4.0000000000000002E-4</v>
      </c>
      <c r="L429" s="33" t="s">
        <v>191</v>
      </c>
    </row>
    <row r="430" spans="1:12" ht="15" customHeight="1" x14ac:dyDescent="0.25">
      <c r="A430" s="1367"/>
      <c r="B430" s="6" t="s">
        <v>332</v>
      </c>
      <c r="C430" s="441">
        <f>IF($O$141="X",IF($H$161="X",IF(C432="X",C429/$O$152,IF(E432="X",C426/$O$152,IF(G432="X",E426/$O$152,IF(I432="X",G426/$O$152,"ERRORE")))),IF($H$158="X",IF(C432="X",C429/$O$149,IF(E432="X",C426/$O$149,IF(G432="X",E426/$O$149,IF(I432="X",G426/$O$149,"ERRORE")))))),"NON SERVE")</f>
        <v>0.2</v>
      </c>
      <c r="D430" s="1363"/>
      <c r="E430" s="9"/>
      <c r="F430" s="7"/>
      <c r="G430" s="7"/>
      <c r="H430" s="9" t="s">
        <v>178</v>
      </c>
      <c r="I430" s="416">
        <f>IF('RAPPORTO ISPEZIONE'!G224&lt;&gt;"",'RAPPORTO ISPEZIONE'!G224,"")</f>
        <v>4.0000000000000002E-4</v>
      </c>
      <c r="J430" s="302"/>
      <c r="K430" s="417">
        <f>IF(AND(I430="",J430=""),"",IF(I430="",J430,I430))</f>
        <v>4.0000000000000002E-4</v>
      </c>
      <c r="L430" s="420">
        <f>ROUND(AVERAGE(K429,K430,K431),$H$164+2)</f>
        <v>4.0000000000000002E-4</v>
      </c>
    </row>
    <row r="431" spans="1:12" ht="15" customHeight="1" x14ac:dyDescent="0.25">
      <c r="A431" s="1367"/>
      <c r="B431" s="27" t="s">
        <v>333</v>
      </c>
      <c r="C431" s="442">
        <f>IF($O$159="X",IF($H$161="X",IF($O$162="X",IF(E431="F-N",C428/$O$171,C428/($O$171*SQRT(3))),IF($O$161="X",IF(E431="F-F",C428/$O$171,"ERRORE"),IF($O$160="X",C428/$O$171))),IF($O$159="X",IF($H$158="X",IF($O$162="X",IF(E431="F-N",C428/$O$167,C428/($O$167*SQRT(3))),IF($O$161="X",IF(E431="F-F",C428/$O$167,"ERRORE"),IF($O$160="X",C428/$O$167)))))))</f>
        <v>0.57700000000000007</v>
      </c>
      <c r="D431" s="1363"/>
      <c r="E431" s="353" t="str">
        <f>E416</f>
        <v>F-N</v>
      </c>
      <c r="F431" s="7"/>
      <c r="G431" s="7"/>
      <c r="H431" s="9" t="s">
        <v>179</v>
      </c>
      <c r="I431" s="416">
        <f>IF('RAPPORTO ISPEZIONE'!H224&lt;&gt;"",'RAPPORTO ISPEZIONE'!H224,"")</f>
        <v>4.0000000000000002E-4</v>
      </c>
      <c r="J431" s="302"/>
      <c r="K431" s="417">
        <f>IF(AND(I431="",J431=""),"",IF(I431="",J431,I431))</f>
        <v>4.0000000000000002E-4</v>
      </c>
      <c r="L431" s="33"/>
    </row>
    <row r="432" spans="1:12" ht="15" customHeight="1" x14ac:dyDescent="0.25">
      <c r="A432" s="422" t="s">
        <v>286</v>
      </c>
      <c r="B432" s="9" t="s">
        <v>282</v>
      </c>
      <c r="C432" s="12" t="str">
        <f>IF(OR($H$180="X",$H$183="X"),"X",IF($H$186="X",""))</f>
        <v>X</v>
      </c>
      <c r="D432" s="9" t="s">
        <v>283</v>
      </c>
      <c r="E432" s="12" t="str">
        <f>IF(OR($H$180="X",$H$183="X"),"",IF($H$186="X","X"))</f>
        <v/>
      </c>
      <c r="F432" s="26" t="s">
        <v>284</v>
      </c>
      <c r="G432" s="12" t="str">
        <f>IF(OR($H$180="X",$H$183="X"),"",IF($H$186="X",""))</f>
        <v/>
      </c>
      <c r="H432" s="28" t="s">
        <v>285</v>
      </c>
      <c r="I432" s="12" t="str">
        <f>IF(OR($H$180="X",$H$183="X"),"",IF($H$186="X",""))</f>
        <v/>
      </c>
      <c r="J432" s="7"/>
      <c r="K432" s="7"/>
      <c r="L432" s="423" t="str">
        <f>IF(B420="X",IF((IF(C432="X",1,0)+IF(E432="X",1,0)+IF(G432="X",1,0)+IF(I432="X",1,0))&lt;&gt;1,"ERRORE",""),"")</f>
        <v/>
      </c>
    </row>
    <row r="433" spans="1:12" ht="15" customHeight="1" x14ac:dyDescent="0.25">
      <c r="A433" s="424"/>
      <c r="B433" s="7"/>
      <c r="C433" s="7"/>
      <c r="D433" s="7"/>
      <c r="E433" s="7"/>
      <c r="F433" s="7"/>
      <c r="G433" s="7"/>
      <c r="H433" s="7"/>
      <c r="I433" s="5"/>
      <c r="J433" s="5"/>
      <c r="K433" s="7"/>
      <c r="L433" s="18"/>
    </row>
    <row r="434" spans="1:12" ht="15" customHeight="1" x14ac:dyDescent="0.25">
      <c r="A434" s="424"/>
      <c r="B434" s="7"/>
      <c r="C434" s="7"/>
      <c r="D434" s="7"/>
      <c r="E434" s="7"/>
      <c r="F434" s="7"/>
      <c r="G434" s="7"/>
      <c r="H434" s="7"/>
      <c r="I434" s="7"/>
      <c r="J434" s="7"/>
      <c r="K434" s="7"/>
      <c r="L434" s="18"/>
    </row>
    <row r="435" spans="1:12" x14ac:dyDescent="0.25">
      <c r="A435" s="411" t="s">
        <v>311</v>
      </c>
      <c r="B435" s="289" t="s">
        <v>1230</v>
      </c>
      <c r="C435" s="434" t="s">
        <v>724</v>
      </c>
      <c r="D435" s="7"/>
      <c r="E435" s="7"/>
      <c r="F435" s="7"/>
      <c r="G435" s="7"/>
      <c r="H435" s="7"/>
      <c r="I435" s="7"/>
      <c r="J435" s="7"/>
      <c r="K435" s="7"/>
      <c r="L435" s="18"/>
    </row>
    <row r="436" spans="1:12" s="3" customFormat="1" x14ac:dyDescent="0.25">
      <c r="A436" s="1364" t="s">
        <v>166</v>
      </c>
      <c r="B436" s="1347" t="s">
        <v>167</v>
      </c>
      <c r="C436" s="2"/>
      <c r="D436" s="1363" t="s">
        <v>168</v>
      </c>
      <c r="E436" s="2"/>
      <c r="F436" s="1363" t="s">
        <v>169</v>
      </c>
      <c r="G436" s="2"/>
      <c r="H436" s="1363" t="s">
        <v>174</v>
      </c>
      <c r="I436" s="2"/>
      <c r="J436" s="7"/>
      <c r="K436" s="7"/>
      <c r="L436" s="412"/>
    </row>
    <row r="437" spans="1:12" s="3" customFormat="1" x14ac:dyDescent="0.25">
      <c r="A437" s="1365"/>
      <c r="B437" s="1348"/>
      <c r="C437" s="439"/>
      <c r="D437" s="1363"/>
      <c r="E437" s="439"/>
      <c r="F437" s="1363"/>
      <c r="G437" s="439"/>
      <c r="H437" s="1363"/>
      <c r="I437" s="12"/>
      <c r="J437" s="7"/>
      <c r="K437" s="7"/>
      <c r="L437" s="412"/>
    </row>
    <row r="438" spans="1:12" s="3" customFormat="1" x14ac:dyDescent="0.25">
      <c r="A438" s="1366"/>
      <c r="B438" s="1349"/>
      <c r="C438" s="439">
        <f>C423</f>
        <v>57.7</v>
      </c>
      <c r="D438" s="1363"/>
      <c r="E438" s="439">
        <f>E423</f>
        <v>57.7</v>
      </c>
      <c r="F438" s="1363"/>
      <c r="G438" s="439">
        <f>G423</f>
        <v>57.7</v>
      </c>
      <c r="H438" s="1363"/>
      <c r="I438" s="12">
        <v>1</v>
      </c>
      <c r="J438" s="7"/>
      <c r="K438" s="7"/>
      <c r="L438" s="412"/>
    </row>
    <row r="439" spans="1:12" x14ac:dyDescent="0.25">
      <c r="A439" s="1364" t="s">
        <v>170</v>
      </c>
      <c r="B439" s="1347" t="s">
        <v>171</v>
      </c>
      <c r="C439" s="383">
        <f>IF('RAPPORTO ISPEZIONE'!C225&lt;&gt;"",'RAPPORTO ISPEZIONE'!C225,"")</f>
        <v>5</v>
      </c>
      <c r="D439" s="1363" t="s">
        <v>172</v>
      </c>
      <c r="E439" s="353">
        <f>C439</f>
        <v>5</v>
      </c>
      <c r="F439" s="1363" t="s">
        <v>173</v>
      </c>
      <c r="G439" s="353">
        <f>E439</f>
        <v>5</v>
      </c>
      <c r="H439" s="1347" t="s">
        <v>175</v>
      </c>
      <c r="I439" s="9"/>
      <c r="J439" s="7"/>
      <c r="K439" s="7"/>
      <c r="L439" s="18"/>
    </row>
    <row r="440" spans="1:12" x14ac:dyDescent="0.25">
      <c r="A440" s="1365"/>
      <c r="B440" s="1348"/>
      <c r="C440" s="301"/>
      <c r="D440" s="1363"/>
      <c r="E440" s="353">
        <f>C440</f>
        <v>0</v>
      </c>
      <c r="F440" s="1363"/>
      <c r="G440" s="353">
        <f>E440</f>
        <v>0</v>
      </c>
      <c r="H440" s="1348"/>
      <c r="I440" s="12"/>
      <c r="J440" s="5"/>
      <c r="K440" s="5"/>
      <c r="L440" s="18"/>
    </row>
    <row r="441" spans="1:12" x14ac:dyDescent="0.25">
      <c r="A441" s="1366"/>
      <c r="B441" s="1349"/>
      <c r="C441" s="12">
        <f>IF(C439="",IF(C440="","",C440),C439)</f>
        <v>5</v>
      </c>
      <c r="D441" s="1363"/>
      <c r="E441" s="353">
        <f>C441</f>
        <v>5</v>
      </c>
      <c r="F441" s="1363"/>
      <c r="G441" s="353">
        <f>E441</f>
        <v>5</v>
      </c>
      <c r="H441" s="1349"/>
      <c r="I441" s="12" t="s">
        <v>185</v>
      </c>
      <c r="J441" s="5"/>
      <c r="K441" s="5"/>
      <c r="L441" s="18"/>
    </row>
    <row r="442" spans="1:12" ht="18" x14ac:dyDescent="0.35">
      <c r="A442" s="1367" t="s">
        <v>8</v>
      </c>
      <c r="B442" s="347" t="s">
        <v>345</v>
      </c>
      <c r="C442" s="435"/>
      <c r="D442" s="436"/>
      <c r="E442" s="2" t="str">
        <f>IF(OR($H$189="A",$H$189="B",$H$189="C"),IF(OR($H$180="X",$H$183="X"),IF(C447="X",IF($H$146="X",(IF($H$161="X",(IF(AND(C444&lt;$H$194,C444&gt;=$H$193),"SI","NO")),(IF($H$158="X",IF(AND((C444*$O$152/$O$149)&lt;$H$194,(C444*$O$152/$O$149)&gt;=$H$193),"SI","NO"),"ERRORE")))),IF($H$143="X",IF($H$158="X",(IF(AND(C444&lt;$H$194,C444&gt;=$H$193),"SI","NO")),"ERRORE"),"ERRORE")),"NON SERVE"),IF($H$186="X",IF($H$146="X",(IF($H$161="X",(IF(AND(MAX(C441,E441,G441,)&lt;$H$194,MAX(C441,E441,G441)&gt;=$H$193),"SI","NO")),(IF($H$158="X",IF(AND((MAX(C441,E441,G441)*$O$152/$O$149)&lt;$H$194,(MAX(C441,E441,G441)*$O$152/$O$149)&gt;=$H$193),"SI","NO"),"ERRORE")))),IF($H$143="X",IF($H$158="X",(IF(AND(MAX(C441,E441,G441)&lt;$H$194,MAX(C441,E441,G441)&gt;=$H$193),"SI","NO")),"ERRORE"),"ERRORE")))),"NON SERVE")</f>
        <v>NO</v>
      </c>
      <c r="F442" s="347" t="s">
        <v>322</v>
      </c>
      <c r="G442" s="4"/>
      <c r="H442" s="4"/>
      <c r="I442" s="2" t="str">
        <f>IF($H$189="0,2S",IF(OR($H$180="X",$H$183="X"),IF(C447="X",IF($H$146="X",(IF($H$161="X",(IF(AND(C444&lt;0.1*$H$192,C444&gt;=$H$193),"SI","NO")),(IF($H$158="X",IF(AND((C444*$O$152/$O$149)&lt;0.1*$H$192,(C444*$O$152/$O$149)&gt;=$H$193),"SI","NO"),"ERRORE")))),IF($H$143="X",IF($H$158="X",(IF(AND(C444&lt;0.1*$H$192,C444&gt;=$H$193),"SI","NO")),"ERRORE"),"ERRORE")),"NON SERVE"),IF($H$186="X",IF($H$146="X",(IF($H$161="X",(IF(AND(MAX(C441,E441,G441,)&lt;0.1*$H$192,MAX(C441,E441,G441)&gt;=$H$193),"SI","NO")),(IF($H$158="X",IF(AND((MAX(C441,E441,G441)*$O$152/$O$149)&lt;0.1*$H$192,(MAX(C441,E441,G441)*$O$152/$O$149)&gt;=$H$193),"SI","NO"),"ERRORE")))),IF($H$143="X",IF($H$158="X",(IF(AND(MAX(C441,E441,G441)&lt;0.1*$H$192,MAX(C441,E441,G441)&gt;=$H$193),"SI","NO")),"ERRORE"),"ERRORE")))),"NON SERVE")</f>
        <v>NON SERVE</v>
      </c>
      <c r="J442" s="5"/>
      <c r="K442" s="5"/>
      <c r="L442" s="18"/>
    </row>
    <row r="443" spans="1:12" x14ac:dyDescent="0.25">
      <c r="A443" s="1367"/>
      <c r="B443" s="9" t="s">
        <v>188</v>
      </c>
      <c r="C443" s="9">
        <f>ROUND(AVERAGE(C438,E438,G438),$H$163)</f>
        <v>57.7</v>
      </c>
      <c r="D443" s="9"/>
      <c r="E443" s="9"/>
      <c r="F443" s="351" t="s">
        <v>550</v>
      </c>
      <c r="G443" s="12" t="str">
        <f>G428</f>
        <v>A+</v>
      </c>
      <c r="H443" s="124" t="s">
        <v>238</v>
      </c>
      <c r="I443" s="12" t="str">
        <f>I428</f>
        <v>1.8.0</v>
      </c>
      <c r="J443" s="7"/>
      <c r="K443" s="7"/>
      <c r="L443" s="18"/>
    </row>
    <row r="444" spans="1:12" x14ac:dyDescent="0.25">
      <c r="A444" s="1367"/>
      <c r="B444" s="9" t="s">
        <v>189</v>
      </c>
      <c r="C444" s="440">
        <f>ROUND(AVERAGE(C441,E441,G441),$H$162)</f>
        <v>5</v>
      </c>
      <c r="D444" s="1363" t="s">
        <v>297</v>
      </c>
      <c r="E444" s="9"/>
      <c r="F444" s="7"/>
      <c r="G444" s="7"/>
      <c r="H444" s="9" t="s">
        <v>177</v>
      </c>
      <c r="I444" s="416">
        <f>IF('RAPPORTO ISPEZIONE'!F225&lt;&gt;"",'RAPPORTO ISPEZIONE'!F225,"")</f>
        <v>5.0000000000000001E-4</v>
      </c>
      <c r="J444" s="302"/>
      <c r="K444" s="417">
        <f>IF(AND(I444="",J444=""),"",IF(I444="",J444,I444))</f>
        <v>5.0000000000000001E-4</v>
      </c>
      <c r="L444" s="33" t="s">
        <v>191</v>
      </c>
    </row>
    <row r="445" spans="1:12" x14ac:dyDescent="0.25">
      <c r="A445" s="1367"/>
      <c r="B445" s="6" t="s">
        <v>332</v>
      </c>
      <c r="C445" s="441">
        <f>IF($O$141="X",IF($H$161="X",IF(C447="X",C444/$O$152,IF(E447="X",C441/$O$152,IF(G447="X",E441/$O$152,IF(I447="X",G441/$O$152,"ERRORE")))),IF($H$158="X",IF(C447="X",C444/$O$149,IF(E447="X",C441/$O$149,IF(G447="X",E441/$O$149,IF(I447="X",G441/$O$149,"ERRORE")))))),"NON SERVE")</f>
        <v>1</v>
      </c>
      <c r="D445" s="1363"/>
      <c r="E445" s="9"/>
      <c r="F445" s="7"/>
      <c r="G445" s="7"/>
      <c r="H445" s="9" t="s">
        <v>178</v>
      </c>
      <c r="I445" s="416">
        <f>IF('RAPPORTO ISPEZIONE'!G225&lt;&gt;"",'RAPPORTO ISPEZIONE'!G225,"")</f>
        <v>5.0000000000000001E-4</v>
      </c>
      <c r="J445" s="302"/>
      <c r="K445" s="417">
        <f>IF(AND(I445="",J445=""),"",IF(I445="",J445,I445))</f>
        <v>5.0000000000000001E-4</v>
      </c>
      <c r="L445" s="420">
        <f>ROUND(AVERAGE(K444,K445,K446),$H$164+2)</f>
        <v>5.0000000000000001E-4</v>
      </c>
    </row>
    <row r="446" spans="1:12" x14ac:dyDescent="0.25">
      <c r="A446" s="1367"/>
      <c r="B446" s="27" t="s">
        <v>333</v>
      </c>
      <c r="C446" s="442">
        <f>IF($O$159="X",IF($H$161="X",IF($O$162="X",IF(E446="F-N",C443/$O$171,C443/($O$171*SQRT(3))),IF($O$161="X",IF(E446="F-F",C443/$O$171,"ERRORE"),IF($O$160="X",C443/$O$171))),IF($O$159="X",IF($H$158="X",IF($O$162="X",IF(E446="F-N",C443/$O$167,C443/($O$167*SQRT(3))),IF($O$161="X",IF(E446="F-F",C443/$O$167,"ERRORE"),IF($O$160="X",C443/$O$167)))))))</f>
        <v>0.57700000000000007</v>
      </c>
      <c r="D446" s="1363"/>
      <c r="E446" s="353" t="str">
        <f>E431</f>
        <v>F-N</v>
      </c>
      <c r="F446" s="7"/>
      <c r="G446" s="7"/>
      <c r="H446" s="9" t="s">
        <v>179</v>
      </c>
      <c r="I446" s="416">
        <f>IF('RAPPORTO ISPEZIONE'!H225&lt;&gt;"",'RAPPORTO ISPEZIONE'!H225,"")</f>
        <v>5.0000000000000001E-4</v>
      </c>
      <c r="J446" s="302"/>
      <c r="K446" s="417">
        <f>IF(AND(I446="",J446=""),"",IF(I446="",J446,I446))</f>
        <v>5.0000000000000001E-4</v>
      </c>
      <c r="L446" s="33"/>
    </row>
    <row r="447" spans="1:12" x14ac:dyDescent="0.25">
      <c r="A447" s="422" t="s">
        <v>286</v>
      </c>
      <c r="B447" s="9" t="s">
        <v>282</v>
      </c>
      <c r="C447" s="12" t="str">
        <f>IF(OR($H$180="X",$H$183="X"),"X",IF($H$186="X",""))</f>
        <v>X</v>
      </c>
      <c r="D447" s="9" t="s">
        <v>283</v>
      </c>
      <c r="E447" s="12" t="str">
        <f>IF(OR($H$180="X",$H$183="X"),"",IF($H$186="X","X"))</f>
        <v/>
      </c>
      <c r="F447" s="26" t="s">
        <v>284</v>
      </c>
      <c r="G447" s="12" t="str">
        <f>IF(OR($H$180="X",$H$183="X"),"",IF($H$186="X",""))</f>
        <v/>
      </c>
      <c r="H447" s="28" t="s">
        <v>285</v>
      </c>
      <c r="I447" s="12" t="str">
        <f>IF(OR($H$180="X",$H$183="X"),"",IF($H$186="X",""))</f>
        <v/>
      </c>
      <c r="J447" s="7"/>
      <c r="K447" s="7"/>
      <c r="L447" s="423" t="str">
        <f>IF(B435="X",IF((IF(C447="X",1,0)+IF(E447="X",1,0)+IF(G447="X",1,0)+IF(I447="X",1,0))&lt;&gt;1,"ERRORE",""),"")</f>
        <v/>
      </c>
    </row>
    <row r="448" spans="1:12" x14ac:dyDescent="0.25">
      <c r="A448" s="424"/>
      <c r="B448" s="7"/>
      <c r="C448" s="7"/>
      <c r="D448" s="7"/>
      <c r="E448" s="7"/>
      <c r="F448" s="7"/>
      <c r="G448" s="7"/>
      <c r="H448" s="7"/>
      <c r="I448" s="5"/>
      <c r="J448" s="5"/>
      <c r="K448" s="7"/>
      <c r="L448" s="18"/>
    </row>
    <row r="449" spans="1:12" x14ac:dyDescent="0.25">
      <c r="A449" s="424"/>
      <c r="B449" s="7"/>
      <c r="C449" s="7"/>
      <c r="D449" s="7"/>
      <c r="E449" s="7"/>
      <c r="F449" s="7"/>
      <c r="G449" s="7"/>
      <c r="H449" s="7"/>
      <c r="I449" s="7"/>
      <c r="J449" s="7"/>
      <c r="K449" s="7"/>
      <c r="L449" s="18"/>
    </row>
    <row r="450" spans="1:12" x14ac:dyDescent="0.25">
      <c r="A450" s="411" t="s">
        <v>312</v>
      </c>
      <c r="B450" s="289" t="s">
        <v>1230</v>
      </c>
      <c r="C450" s="434" t="s">
        <v>729</v>
      </c>
      <c r="D450" s="7"/>
      <c r="E450" s="7"/>
      <c r="F450" s="7"/>
      <c r="G450" s="7"/>
      <c r="H450" s="7"/>
      <c r="I450" s="7"/>
      <c r="J450" s="7"/>
      <c r="K450" s="7"/>
      <c r="L450" s="18"/>
    </row>
    <row r="451" spans="1:12" s="3" customFormat="1" x14ac:dyDescent="0.25">
      <c r="A451" s="1364" t="s">
        <v>166</v>
      </c>
      <c r="B451" s="1347" t="s">
        <v>167</v>
      </c>
      <c r="C451" s="2"/>
      <c r="D451" s="1363" t="s">
        <v>168</v>
      </c>
      <c r="E451" s="2"/>
      <c r="F451" s="1363" t="s">
        <v>169</v>
      </c>
      <c r="G451" s="2"/>
      <c r="H451" s="1363" t="s">
        <v>174</v>
      </c>
      <c r="I451" s="2"/>
      <c r="J451" s="7"/>
      <c r="K451" s="7"/>
      <c r="L451" s="412"/>
    </row>
    <row r="452" spans="1:12" s="3" customFormat="1" x14ac:dyDescent="0.25">
      <c r="A452" s="1365"/>
      <c r="B452" s="1348"/>
      <c r="C452" s="439"/>
      <c r="D452" s="1363"/>
      <c r="E452" s="439"/>
      <c r="F452" s="1363"/>
      <c r="G452" s="439"/>
      <c r="H452" s="1363"/>
      <c r="I452" s="12"/>
      <c r="J452" s="7"/>
      <c r="K452" s="7"/>
      <c r="L452" s="412"/>
    </row>
    <row r="453" spans="1:12" s="3" customFormat="1" x14ac:dyDescent="0.25">
      <c r="A453" s="1366"/>
      <c r="B453" s="1349"/>
      <c r="C453" s="439">
        <f>C438</f>
        <v>57.7</v>
      </c>
      <c r="D453" s="1363"/>
      <c r="E453" s="439">
        <f>E438</f>
        <v>57.7</v>
      </c>
      <c r="F453" s="1363"/>
      <c r="G453" s="439">
        <f>G438</f>
        <v>57.7</v>
      </c>
      <c r="H453" s="1363"/>
      <c r="I453" s="12">
        <v>0.5</v>
      </c>
      <c r="J453" s="7"/>
      <c r="K453" s="7"/>
      <c r="L453" s="412"/>
    </row>
    <row r="454" spans="1:12" x14ac:dyDescent="0.25">
      <c r="A454" s="1364" t="s">
        <v>170</v>
      </c>
      <c r="B454" s="1347" t="s">
        <v>171</v>
      </c>
      <c r="C454" s="7"/>
      <c r="D454" s="1347" t="s">
        <v>172</v>
      </c>
      <c r="E454" s="7"/>
      <c r="F454" s="1347" t="s">
        <v>173</v>
      </c>
      <c r="G454" s="7"/>
      <c r="H454" s="1347" t="s">
        <v>175</v>
      </c>
      <c r="I454" s="9"/>
      <c r="J454" s="7"/>
      <c r="K454" s="7"/>
      <c r="L454" s="18"/>
    </row>
    <row r="455" spans="1:12" x14ac:dyDescent="0.25">
      <c r="A455" s="1365"/>
      <c r="B455" s="1348"/>
      <c r="C455" s="2"/>
      <c r="D455" s="1348"/>
      <c r="E455" s="2"/>
      <c r="F455" s="1348"/>
      <c r="G455" s="2"/>
      <c r="H455" s="1348"/>
      <c r="I455" s="12"/>
      <c r="J455" s="7"/>
      <c r="K455" s="7"/>
      <c r="L455" s="18"/>
    </row>
    <row r="456" spans="1:12" x14ac:dyDescent="0.25">
      <c r="A456" s="1366"/>
      <c r="B456" s="1349"/>
      <c r="C456" s="2">
        <f>C441</f>
        <v>5</v>
      </c>
      <c r="D456" s="1349"/>
      <c r="E456" s="2">
        <f>C456</f>
        <v>5</v>
      </c>
      <c r="F456" s="1349"/>
      <c r="G456" s="2">
        <f>C456</f>
        <v>5</v>
      </c>
      <c r="H456" s="1349"/>
      <c r="I456" s="12" t="s">
        <v>185</v>
      </c>
      <c r="J456" s="7"/>
      <c r="K456" s="7"/>
      <c r="L456" s="18"/>
    </row>
    <row r="457" spans="1:12" ht="18" x14ac:dyDescent="0.35">
      <c r="A457" s="1367" t="s">
        <v>8</v>
      </c>
      <c r="B457" s="347" t="s">
        <v>345</v>
      </c>
      <c r="C457" s="435"/>
      <c r="D457" s="436"/>
      <c r="E457" s="2" t="str">
        <f>IF(OR($H$189="A",$H$189="B",$H$189="C"),IF(OR($H$180="X",$H$183="X"),IF(C462="X",IF($H$146="X",(IF($H$161="X",(IF(AND(C459&lt;$H$194,C459&gt;=$H$193),"SI","NO")),(IF($H$158="X",IF(AND((C459*$O$152/$O$149)&lt;$H$194,(C459*$O$152/$O$149)&gt;=$H$193),"SI","NO"),"ERRORE")))),IF($H$143="X",IF($H$158="X",(IF(AND(C459&lt;$H$194,C459&gt;=$H$193),"SI","NO")),"ERRORE"),"ERRORE")),"NON SERVE"),IF($H$186="X",IF($H$146="X",(IF($H$161="X",(IF(AND(MAX(C456,E456,G456,)&lt;$H$194,MAX(C456,E456,G456)&gt;=$H$193),"SI","NO")),(IF($H$158="X",IF(AND((MAX(C456,E456,G456)*$O$152/$O$149)&lt;$H$194,(MAX(C456,E456,G456)*$O$152/$O$149)&gt;=$H$193),"SI","NO"),"ERRORE")))),IF($H$143="X",IF($H$158="X",(IF(AND(MAX(C456,E456,G456)&lt;$H$194,MAX(C456,E456,G456)&gt;=$H$193),"SI","NO")),"ERRORE"),"ERRORE")))),"NON SERVE")</f>
        <v>NO</v>
      </c>
      <c r="F457" s="347" t="s">
        <v>322</v>
      </c>
      <c r="G457" s="4"/>
      <c r="H457" s="4"/>
      <c r="I457" s="2" t="str">
        <f>IF($H$189="0,2S",IF(OR($H$180="X",$H$183="X"),IF(C462="X",IF($H$146="X",(IF($H$161="X",(IF(AND(C459&lt;0.1*$H$192,C459&gt;=$H$193),"SI","NO")),(IF($H$158="X",IF(AND((C459*$O$152/$O$149)&lt;0.1*$H$192,(C459*$O$152/$O$149)&gt;=$H$193),"SI","NO"),"ERRORE")))),IF($H$143="X",IF($H$158="X",(IF(AND(C459&lt;0.1*$H$192,C459&gt;=$H$193),"SI","NO")),"ERRORE"),"ERRORE")),"NON SERVE"),IF($H$186="X",IF($H$146="X",(IF($H$161="X",(IF(AND(MAX(C456,E456,G456,)&lt;0.1*$H$192,MAX(C456,E456,G456)&gt;=$H$193),"SI","NO")),(IF($H$158="X",IF(AND((MAX(C456,E456,G456)*$O$152/$O$149)&lt;0.1*$H$192,(MAX(C456,E456,G456)*$O$152/$O$149)&gt;=$H$193),"SI","NO"),"ERRORE")))),IF($H$143="X",IF($H$158="X",(IF(AND(MAX(C456,E456,G456)&lt;0.1*$H$192,MAX(C456,E456,G456)&gt;=$H$193),"SI","NO")),"ERRORE"),"ERRORE")))),"NON SERVE")</f>
        <v>NON SERVE</v>
      </c>
      <c r="J457" s="7"/>
      <c r="K457" s="7"/>
      <c r="L457" s="18"/>
    </row>
    <row r="458" spans="1:12" x14ac:dyDescent="0.25">
      <c r="A458" s="1367"/>
      <c r="B458" s="9" t="s">
        <v>188</v>
      </c>
      <c r="C458" s="9">
        <f>ROUND(AVERAGE(C453,E453,G453),$H$163)</f>
        <v>57.7</v>
      </c>
      <c r="D458" s="9"/>
      <c r="E458" s="9"/>
      <c r="F458" s="351" t="s">
        <v>550</v>
      </c>
      <c r="G458" s="12" t="str">
        <f>G443</f>
        <v>A+</v>
      </c>
      <c r="H458" s="124" t="s">
        <v>238</v>
      </c>
      <c r="I458" s="12" t="str">
        <f>I443</f>
        <v>1.8.0</v>
      </c>
      <c r="J458" s="7"/>
      <c r="K458" s="7"/>
      <c r="L458" s="18"/>
    </row>
    <row r="459" spans="1:12" x14ac:dyDescent="0.25">
      <c r="A459" s="1367"/>
      <c r="B459" s="9" t="s">
        <v>189</v>
      </c>
      <c r="C459" s="440">
        <f>ROUND(AVERAGE(C456,E456,G456),$H$162)</f>
        <v>5</v>
      </c>
      <c r="D459" s="1363" t="s">
        <v>297</v>
      </c>
      <c r="E459" s="9"/>
      <c r="F459" s="7"/>
      <c r="G459" s="7"/>
      <c r="H459" s="9" t="s">
        <v>177</v>
      </c>
      <c r="I459" s="416">
        <f>IF('RAPPORTO ISPEZIONE'!F226&lt;&gt;"",'RAPPORTO ISPEZIONE'!F226,"")</f>
        <v>5.9999999999999995E-4</v>
      </c>
      <c r="J459" s="302"/>
      <c r="K459" s="417">
        <f>IF(AND(I459="",J459=""),"",IF(I459="",J459,I459))</f>
        <v>5.9999999999999995E-4</v>
      </c>
      <c r="L459" s="33" t="s">
        <v>191</v>
      </c>
    </row>
    <row r="460" spans="1:12" x14ac:dyDescent="0.25">
      <c r="A460" s="1367"/>
      <c r="B460" s="6" t="s">
        <v>332</v>
      </c>
      <c r="C460" s="441">
        <f>IF($O$141="X",IF($H$161="X",IF(C462="X",C459/$O$152,IF(E462="X",C456/$O$152,IF(G462="X",E456/$O$152,IF(I462="X",G456/$O$152,"ERRORE")))),IF($H$158="X",IF(C462="X",C459/$O$149,IF(E462="X",C456/$O$149,IF(G462="X",E456/$O$149,IF(I462="X",G456/$O$149,"ERRORE")))))),"NON SERVE")</f>
        <v>1</v>
      </c>
      <c r="D460" s="1363"/>
      <c r="E460" s="9"/>
      <c r="F460" s="7"/>
      <c r="G460" s="7"/>
      <c r="H460" s="9" t="s">
        <v>178</v>
      </c>
      <c r="I460" s="416">
        <f>IF('RAPPORTO ISPEZIONE'!G226&lt;&gt;"",'RAPPORTO ISPEZIONE'!G226,"")</f>
        <v>5.9999999999999995E-4</v>
      </c>
      <c r="J460" s="302"/>
      <c r="K460" s="417">
        <f>IF(AND(I460="",J460=""),"",IF(I460="",J460,I460))</f>
        <v>5.9999999999999995E-4</v>
      </c>
      <c r="L460" s="420">
        <f>ROUND(AVERAGE(K459,K460,K461),$H$164+2)</f>
        <v>5.9999999999999995E-4</v>
      </c>
    </row>
    <row r="461" spans="1:12" x14ac:dyDescent="0.25">
      <c r="A461" s="1367"/>
      <c r="B461" s="27" t="s">
        <v>333</v>
      </c>
      <c r="C461" s="442">
        <f>IF($O$159="X",IF($H$161="X",IF($O$162="X",IF(E461="F-N",C458/$O$171,C458/($O$171*SQRT(3))),IF($O$161="X",IF(E461="F-F",C458/$O$171,"ERRORE"),IF($O$160="X",C458/$O$171))),IF($O$159="X",IF($H$158="X",IF($O$162="X",IF(E461="F-N",C458/$O$167,C458/($O$167*SQRT(3))),IF($O$161="X",IF(E461="F-F",C458/$O$167,"ERRORE"),IF($O$160="X",C458/$O$167)))))))</f>
        <v>0.57700000000000007</v>
      </c>
      <c r="D461" s="1363"/>
      <c r="E461" s="353" t="str">
        <f>E446</f>
        <v>F-N</v>
      </c>
      <c r="F461" s="7"/>
      <c r="G461" s="7"/>
      <c r="H461" s="9" t="s">
        <v>179</v>
      </c>
      <c r="I461" s="416">
        <f>IF('RAPPORTO ISPEZIONE'!H226&lt;&gt;"",'RAPPORTO ISPEZIONE'!H226,"")</f>
        <v>5.9999999999999995E-4</v>
      </c>
      <c r="J461" s="302"/>
      <c r="K461" s="417">
        <f>IF(AND(I461="",J461=""),"",IF(I461="",J461,I461))</f>
        <v>5.9999999999999995E-4</v>
      </c>
      <c r="L461" s="33"/>
    </row>
    <row r="462" spans="1:12" x14ac:dyDescent="0.25">
      <c r="A462" s="422" t="s">
        <v>286</v>
      </c>
      <c r="B462" s="9" t="s">
        <v>282</v>
      </c>
      <c r="C462" s="12" t="str">
        <f>IF(OR($H$180="X",$H$183="X"),"X",IF($H$186="X",""))</f>
        <v>X</v>
      </c>
      <c r="D462" s="9" t="s">
        <v>283</v>
      </c>
      <c r="E462" s="12" t="str">
        <f>IF(OR($H$180="X",$H$183="X"),"",IF($H$186="X","X"))</f>
        <v/>
      </c>
      <c r="F462" s="26" t="s">
        <v>284</v>
      </c>
      <c r="G462" s="12" t="str">
        <f>IF(OR($H$180="X",$H$183="X"),"",IF($H$186="X",""))</f>
        <v/>
      </c>
      <c r="H462" s="28" t="s">
        <v>285</v>
      </c>
      <c r="I462" s="12" t="str">
        <f>IF(OR($H$180="X",$H$183="X"),"",IF($H$186="X",""))</f>
        <v/>
      </c>
      <c r="J462" s="7"/>
      <c r="K462" s="7"/>
      <c r="L462" s="423" t="str">
        <f>IF(B450="X",IF((IF(C462="X",1,0)+IF(E462="X",1,0)+IF(G462="X",1,0)+IF(I462="X",1,0))&lt;&gt;1,"ERRORE",""),"")</f>
        <v/>
      </c>
    </row>
    <row r="463" spans="1:12" x14ac:dyDescent="0.25">
      <c r="A463" s="424"/>
      <c r="B463" s="7"/>
      <c r="C463" s="7"/>
      <c r="D463" s="7"/>
      <c r="E463" s="7"/>
      <c r="F463" s="7"/>
      <c r="G463" s="7"/>
      <c r="H463" s="7"/>
      <c r="I463" s="7"/>
      <c r="J463" s="5"/>
      <c r="K463" s="7"/>
      <c r="L463" s="18"/>
    </row>
    <row r="464" spans="1:12" x14ac:dyDescent="0.25">
      <c r="A464" s="424"/>
      <c r="B464" s="7"/>
      <c r="C464" s="7"/>
      <c r="D464" s="7"/>
      <c r="E464" s="7"/>
      <c r="F464" s="7"/>
      <c r="G464" s="7"/>
      <c r="H464" s="7"/>
      <c r="I464" s="7"/>
      <c r="J464" s="7"/>
      <c r="K464" s="7"/>
      <c r="L464" s="18"/>
    </row>
    <row r="465" spans="1:12" x14ac:dyDescent="0.25">
      <c r="A465" s="411" t="s">
        <v>313</v>
      </c>
      <c r="B465" s="289" t="s">
        <v>1230</v>
      </c>
      <c r="C465" s="434" t="s">
        <v>731</v>
      </c>
      <c r="D465" s="7"/>
      <c r="E465" s="7"/>
      <c r="F465" s="7"/>
      <c r="G465" s="7"/>
      <c r="H465" s="7"/>
      <c r="I465" s="7"/>
      <c r="J465" s="7"/>
      <c r="K465" s="7"/>
      <c r="L465" s="18"/>
    </row>
    <row r="466" spans="1:12" s="3" customFormat="1" x14ac:dyDescent="0.25">
      <c r="A466" s="1364" t="s">
        <v>166</v>
      </c>
      <c r="B466" s="1347" t="s">
        <v>167</v>
      </c>
      <c r="C466" s="2"/>
      <c r="D466" s="1363" t="s">
        <v>168</v>
      </c>
      <c r="E466" s="2"/>
      <c r="F466" s="1363" t="s">
        <v>169</v>
      </c>
      <c r="G466" s="2"/>
      <c r="H466" s="1363" t="s">
        <v>174</v>
      </c>
      <c r="I466" s="2"/>
      <c r="J466" s="7"/>
      <c r="K466" s="7"/>
      <c r="L466" s="412"/>
    </row>
    <row r="467" spans="1:12" s="3" customFormat="1" x14ac:dyDescent="0.25">
      <c r="A467" s="1365"/>
      <c r="B467" s="1348"/>
      <c r="C467" s="439"/>
      <c r="D467" s="1363"/>
      <c r="E467" s="439"/>
      <c r="F467" s="1363"/>
      <c r="G467" s="439"/>
      <c r="H467" s="1363"/>
      <c r="I467" s="12"/>
      <c r="J467" s="7"/>
      <c r="K467" s="7"/>
      <c r="L467" s="412"/>
    </row>
    <row r="468" spans="1:12" s="3" customFormat="1" x14ac:dyDescent="0.25">
      <c r="A468" s="1366"/>
      <c r="B468" s="1349"/>
      <c r="C468" s="439">
        <f>C453</f>
        <v>57.7</v>
      </c>
      <c r="D468" s="1363"/>
      <c r="E468" s="439">
        <f>E453</f>
        <v>57.7</v>
      </c>
      <c r="F468" s="1363"/>
      <c r="G468" s="439">
        <f>G453</f>
        <v>57.7</v>
      </c>
      <c r="H468" s="1363"/>
      <c r="I468" s="12">
        <v>1</v>
      </c>
      <c r="J468" s="7"/>
      <c r="K468" s="7"/>
      <c r="L468" s="412"/>
    </row>
    <row r="469" spans="1:12" x14ac:dyDescent="0.25">
      <c r="A469" s="1364" t="s">
        <v>170</v>
      </c>
      <c r="B469" s="1347" t="s">
        <v>171</v>
      </c>
      <c r="C469" s="383">
        <f>IF('RAPPORTO ISPEZIONE'!C227&lt;&gt;"",'RAPPORTO ISPEZIONE'!C227,"")</f>
        <v>6</v>
      </c>
      <c r="D469" s="1363" t="s">
        <v>172</v>
      </c>
      <c r="E469" s="353">
        <f>C469</f>
        <v>6</v>
      </c>
      <c r="F469" s="1363" t="s">
        <v>173</v>
      </c>
      <c r="G469" s="353">
        <f>E469</f>
        <v>6</v>
      </c>
      <c r="H469" s="1347" t="s">
        <v>175</v>
      </c>
      <c r="I469" s="9"/>
      <c r="J469" s="7"/>
      <c r="K469" s="7"/>
      <c r="L469" s="18"/>
    </row>
    <row r="470" spans="1:12" x14ac:dyDescent="0.25">
      <c r="A470" s="1365"/>
      <c r="B470" s="1348"/>
      <c r="C470" s="301"/>
      <c r="D470" s="1363"/>
      <c r="E470" s="353">
        <f>C470</f>
        <v>0</v>
      </c>
      <c r="F470" s="1363"/>
      <c r="G470" s="353">
        <f>E470</f>
        <v>0</v>
      </c>
      <c r="H470" s="1348"/>
      <c r="I470" s="12"/>
      <c r="J470" s="5"/>
      <c r="K470" s="7"/>
      <c r="L470" s="18"/>
    </row>
    <row r="471" spans="1:12" x14ac:dyDescent="0.25">
      <c r="A471" s="1366"/>
      <c r="B471" s="1349"/>
      <c r="C471" s="12">
        <f>IF(C469="",IF(C470="","",C470),C469)</f>
        <v>6</v>
      </c>
      <c r="D471" s="1363"/>
      <c r="E471" s="353">
        <f>C471</f>
        <v>6</v>
      </c>
      <c r="F471" s="1363"/>
      <c r="G471" s="353">
        <f>E471</f>
        <v>6</v>
      </c>
      <c r="H471" s="1349"/>
      <c r="I471" s="12" t="s">
        <v>185</v>
      </c>
      <c r="J471" s="5"/>
      <c r="K471" s="7"/>
      <c r="L471" s="18"/>
    </row>
    <row r="472" spans="1:12" ht="18" x14ac:dyDescent="0.35">
      <c r="A472" s="1367" t="s">
        <v>8</v>
      </c>
      <c r="B472" s="347" t="s">
        <v>345</v>
      </c>
      <c r="C472" s="435"/>
      <c r="D472" s="436"/>
      <c r="E472" s="2" t="str">
        <f>IF(OR($H$189="A",$H$189="B",$H$189="C"),IF(OR($H$180="X",$H$183="X"),IF(C477="X",IF($H$146="X",(IF($H$161="X",(IF(AND(C474&lt;$H$194,C474&gt;=$H$193),"SI","NO")),(IF($H$158="X",IF(AND((C474*$O$152/$O$149)&lt;$H$194,(C474*$O$152/$O$149)&gt;=$H$193),"SI","NO"),"ERRORE")))),IF($H$143="X",IF($H$158="X",(IF(AND(C474&lt;$H$194,C474&gt;=$H$193),"SI","NO")),"ERRORE"),"ERRORE")),"NON SERVE"),IF($H$186="X",IF($H$146="X",(IF($H$161="X",(IF(AND(MAX(C471,E471,G471,)&lt;$H$194,MAX(C471,E471,G471)&gt;=$H$193),"SI","NO")),(IF($H$158="X",IF(AND((MAX(C471,E471,G471)*$O$152/$O$149)&lt;$H$194,(MAX(C471,E471,G471)*$O$152/$O$149)&gt;=$H$193),"SI","NO"),"ERRORE")))),IF($H$143="X",IF($H$158="X",(IF(AND(MAX(C471,E471,G471)&lt;$H$194,MAX(C471,E471,G471)&gt;=$H$193),"SI","NO")),"ERRORE"),"ERRORE")))),"NON SERVE")</f>
        <v>NO</v>
      </c>
      <c r="F472" s="347" t="s">
        <v>322</v>
      </c>
      <c r="G472" s="4"/>
      <c r="H472" s="4"/>
      <c r="I472" s="2" t="str">
        <f>IF($H$189="0,2S",IF(OR($H$180="X",$H$183="X"),IF(C477="X",IF($H$146="X",(IF($H$161="X",(IF(AND(C474&lt;0.1*$H$192,C474&gt;=$H$193),"SI","NO")),(IF($H$158="X",IF(AND((C474*$O$152/$O$149)&lt;0.1*$H$192,(C474*$O$152/$O$149)&gt;=$H$193),"SI","NO"),"ERRORE")))),IF($H$143="X",IF($H$158="X",(IF(AND(C474&lt;0.1*$H$192,C474&gt;=$H$193),"SI","NO")),"ERRORE"),"ERRORE")),"NON SERVE"),IF($H$186="X",IF($H$146="X",(IF($H$161="X",(IF(AND(MAX(C471,E471,G471,)&lt;0.1*$H$192,MAX(C471,E471,G471)&gt;=$H$193),"SI","NO")),(IF($H$158="X",IF(AND((MAX(C471,E471,G471)*$O$152/$O$149)&lt;0.1*$H$192,(MAX(C471,E471,G471)*$O$152/$O$149)&gt;=$H$193),"SI","NO"),"ERRORE")))),IF($H$143="X",IF($H$158="X",(IF(AND(MAX(C471,E471,G471)&lt;0.1*$H$192,MAX(C471,E471,G471)&gt;=$H$193),"SI","NO")),"ERRORE"),"ERRORE")))),"NON SERVE")</f>
        <v>NON SERVE</v>
      </c>
      <c r="J472" s="5"/>
      <c r="K472" s="7"/>
      <c r="L472" s="18"/>
    </row>
    <row r="473" spans="1:12" x14ac:dyDescent="0.25">
      <c r="A473" s="1367"/>
      <c r="B473" s="9" t="s">
        <v>188</v>
      </c>
      <c r="C473" s="9">
        <f>ROUND(AVERAGE(C468,E468,G468),$H$163)</f>
        <v>57.7</v>
      </c>
      <c r="D473" s="9"/>
      <c r="E473" s="9"/>
      <c r="F473" s="351" t="s">
        <v>550</v>
      </c>
      <c r="G473" s="12" t="str">
        <f>G458</f>
        <v>A+</v>
      </c>
      <c r="H473" s="124" t="s">
        <v>238</v>
      </c>
      <c r="I473" s="12" t="str">
        <f>I458</f>
        <v>1.8.0</v>
      </c>
      <c r="J473" s="7"/>
      <c r="K473" s="7"/>
      <c r="L473" s="18"/>
    </row>
    <row r="474" spans="1:12" x14ac:dyDescent="0.25">
      <c r="A474" s="1367"/>
      <c r="B474" s="9" t="s">
        <v>189</v>
      </c>
      <c r="C474" s="440">
        <f>ROUND(AVERAGE(C471,E471,G471),$H$162)</f>
        <v>6</v>
      </c>
      <c r="D474" s="1363" t="s">
        <v>297</v>
      </c>
      <c r="E474" s="9"/>
      <c r="F474" s="7"/>
      <c r="G474" s="7"/>
      <c r="H474" s="9" t="s">
        <v>177</v>
      </c>
      <c r="I474" s="416">
        <f>IF('RAPPORTO ISPEZIONE'!F227&lt;&gt;"",'RAPPORTO ISPEZIONE'!F227,"")</f>
        <v>6.9999999999999999E-4</v>
      </c>
      <c r="J474" s="302"/>
      <c r="K474" s="417">
        <f>IF(AND(I474="",J474=""),"",IF(I474="",J474,I474))</f>
        <v>6.9999999999999999E-4</v>
      </c>
      <c r="L474" s="33" t="s">
        <v>191</v>
      </c>
    </row>
    <row r="475" spans="1:12" x14ac:dyDescent="0.25">
      <c r="A475" s="1367"/>
      <c r="B475" s="6" t="s">
        <v>332</v>
      </c>
      <c r="C475" s="441">
        <f>IF($O$141="X",IF($H$161="X",IF(C477="X",C474/$O$152,IF(E477="X",C471/$O$152,IF(G477="X",E471/$O$152,IF(I477="X",G471/$O$152,"ERRORE")))),IF($H$158="X",IF(C477="X",C474/$O$149,IF(E477="X",C471/$O$149,IF(G477="X",E471/$O$149,IF(I477="X",G471/$O$149,"ERRORE")))))),"NON SERVE")</f>
        <v>1.2</v>
      </c>
      <c r="D475" s="1363"/>
      <c r="E475" s="9"/>
      <c r="F475" s="7"/>
      <c r="G475" s="7"/>
      <c r="H475" s="9" t="s">
        <v>178</v>
      </c>
      <c r="I475" s="416">
        <f>IF('RAPPORTO ISPEZIONE'!G227&lt;&gt;"",'RAPPORTO ISPEZIONE'!G227,"")</f>
        <v>6.9999999999999999E-4</v>
      </c>
      <c r="J475" s="302"/>
      <c r="K475" s="417">
        <f>IF(AND(I475="",J475=""),"",IF(I475="",J475,I475))</f>
        <v>6.9999999999999999E-4</v>
      </c>
      <c r="L475" s="420">
        <f>ROUND(AVERAGE(K474,K475,K476),$H$164+2)</f>
        <v>6.9999999999999999E-4</v>
      </c>
    </row>
    <row r="476" spans="1:12" x14ac:dyDescent="0.25">
      <c r="A476" s="1367"/>
      <c r="B476" s="27" t="s">
        <v>333</v>
      </c>
      <c r="C476" s="442">
        <f>IF($O$159="X",IF($H$161="X",IF($O$162="X",IF(E476="F-N",C473/$O$171,C473/($O$171*SQRT(3))),IF($O$161="X",IF(E476="F-F",C473/$O$171,"ERRORE"),IF($O$160="X",C473/$O$171))),IF($O$159="X",IF($H$158="X",IF($O$162="X",IF(E476="F-N",C473/$O$167,C473/($O$167*SQRT(3))),IF($O$161="X",IF(E476="F-F",C473/$O$167,"ERRORE"),IF($O$160="X",C473/$O$167)))))))</f>
        <v>0.57700000000000007</v>
      </c>
      <c r="D476" s="1363"/>
      <c r="E476" s="353" t="str">
        <f>E461</f>
        <v>F-N</v>
      </c>
      <c r="F476" s="7"/>
      <c r="G476" s="7"/>
      <c r="H476" s="9" t="s">
        <v>179</v>
      </c>
      <c r="I476" s="416">
        <f>IF('RAPPORTO ISPEZIONE'!H227&lt;&gt;"",'RAPPORTO ISPEZIONE'!H227,"")</f>
        <v>6.9999999999999999E-4</v>
      </c>
      <c r="J476" s="302"/>
      <c r="K476" s="417">
        <f>IF(AND(I476="",J476=""),"",IF(I476="",J476,I476))</f>
        <v>6.9999999999999999E-4</v>
      </c>
      <c r="L476" s="33"/>
    </row>
    <row r="477" spans="1:12" x14ac:dyDescent="0.25">
      <c r="A477" s="422" t="s">
        <v>286</v>
      </c>
      <c r="B477" s="9" t="s">
        <v>282</v>
      </c>
      <c r="C477" s="12" t="str">
        <f>IF(OR($H$180="X",$H$183="X"),"X",IF($H$186="X",""))</f>
        <v>X</v>
      </c>
      <c r="D477" s="9" t="s">
        <v>283</v>
      </c>
      <c r="E477" s="12" t="str">
        <f>IF(OR($H$180="X",$H$183="X"),"",IF($H$186="X","X"))</f>
        <v/>
      </c>
      <c r="F477" s="26" t="s">
        <v>284</v>
      </c>
      <c r="G477" s="12" t="str">
        <f>IF(OR($H$180="X",$H$183="X"),"",IF($H$186="X",""))</f>
        <v/>
      </c>
      <c r="H477" s="28" t="s">
        <v>285</v>
      </c>
      <c r="I477" s="12" t="str">
        <f>IF(OR($H$180="X",$H$183="X"),"",IF($H$186="X",""))</f>
        <v/>
      </c>
      <c r="J477" s="7"/>
      <c r="K477" s="7"/>
      <c r="L477" s="423" t="str">
        <f>IF(B465="X",IF((IF(C477="X",1,0)+IF(E477="X",1,0)+IF(G477="X",1,0)+IF(I477="X",1,0))&lt;&gt;1,"ERRORE",""),"")</f>
        <v/>
      </c>
    </row>
    <row r="478" spans="1:12" x14ac:dyDescent="0.25">
      <c r="A478" s="424"/>
      <c r="B478" s="7"/>
      <c r="C478" s="7"/>
      <c r="D478" s="7"/>
      <c r="E478" s="7"/>
      <c r="F478" s="7"/>
      <c r="G478" s="7"/>
      <c r="H478" s="7"/>
      <c r="I478" s="5"/>
      <c r="J478" s="5"/>
      <c r="K478" s="7"/>
      <c r="L478" s="18"/>
    </row>
    <row r="479" spans="1:12" x14ac:dyDescent="0.25">
      <c r="A479" s="424"/>
      <c r="B479" s="7"/>
      <c r="C479" s="7"/>
      <c r="D479" s="7"/>
      <c r="E479" s="7"/>
      <c r="F479" s="7"/>
      <c r="G479" s="7"/>
      <c r="H479" s="7"/>
      <c r="I479" s="7"/>
      <c r="J479" s="7"/>
      <c r="K479" s="7"/>
      <c r="L479" s="18"/>
    </row>
    <row r="480" spans="1:12" x14ac:dyDescent="0.25">
      <c r="A480" s="411" t="s">
        <v>314</v>
      </c>
      <c r="B480" s="289" t="s">
        <v>1230</v>
      </c>
      <c r="C480" s="434" t="s">
        <v>730</v>
      </c>
      <c r="D480" s="7"/>
      <c r="E480" s="7"/>
      <c r="F480" s="7"/>
      <c r="G480" s="7"/>
      <c r="H480" s="7"/>
      <c r="I480" s="7"/>
      <c r="J480" s="7"/>
      <c r="K480" s="7"/>
      <c r="L480" s="18"/>
    </row>
    <row r="481" spans="1:12" s="3" customFormat="1" x14ac:dyDescent="0.25">
      <c r="A481" s="1364" t="s">
        <v>166</v>
      </c>
      <c r="B481" s="1347" t="s">
        <v>167</v>
      </c>
      <c r="C481" s="2"/>
      <c r="D481" s="1363" t="s">
        <v>168</v>
      </c>
      <c r="E481" s="2"/>
      <c r="F481" s="1363" t="s">
        <v>169</v>
      </c>
      <c r="G481" s="2"/>
      <c r="H481" s="1363" t="s">
        <v>174</v>
      </c>
      <c r="I481" s="2"/>
      <c r="J481" s="7"/>
      <c r="K481" s="7"/>
      <c r="L481" s="412"/>
    </row>
    <row r="482" spans="1:12" s="3" customFormat="1" x14ac:dyDescent="0.25">
      <c r="A482" s="1365"/>
      <c r="B482" s="1348"/>
      <c r="C482" s="439"/>
      <c r="D482" s="1363"/>
      <c r="E482" s="439"/>
      <c r="F482" s="1363"/>
      <c r="G482" s="439"/>
      <c r="H482" s="1363"/>
      <c r="I482" s="12"/>
      <c r="J482" s="7"/>
      <c r="K482" s="7"/>
      <c r="L482" s="412"/>
    </row>
    <row r="483" spans="1:12" s="3" customFormat="1" x14ac:dyDescent="0.25">
      <c r="A483" s="1366"/>
      <c r="B483" s="1349"/>
      <c r="C483" s="439">
        <f>C468</f>
        <v>57.7</v>
      </c>
      <c r="D483" s="1363"/>
      <c r="E483" s="439">
        <f>E468</f>
        <v>57.7</v>
      </c>
      <c r="F483" s="1363"/>
      <c r="G483" s="439">
        <f>G468</f>
        <v>57.7</v>
      </c>
      <c r="H483" s="1363"/>
      <c r="I483" s="12">
        <v>0.5</v>
      </c>
      <c r="J483" s="7"/>
      <c r="K483" s="7"/>
      <c r="L483" s="412"/>
    </row>
    <row r="484" spans="1:12" x14ac:dyDescent="0.25">
      <c r="A484" s="1364" t="s">
        <v>170</v>
      </c>
      <c r="B484" s="1347" t="s">
        <v>171</v>
      </c>
      <c r="C484" s="7"/>
      <c r="D484" s="1347" t="s">
        <v>172</v>
      </c>
      <c r="E484" s="7"/>
      <c r="F484" s="1347" t="s">
        <v>173</v>
      </c>
      <c r="G484" s="7"/>
      <c r="H484" s="1347" t="s">
        <v>175</v>
      </c>
      <c r="I484" s="9"/>
      <c r="J484" s="7"/>
      <c r="K484" s="7"/>
      <c r="L484" s="18"/>
    </row>
    <row r="485" spans="1:12" x14ac:dyDescent="0.25">
      <c r="A485" s="1365"/>
      <c r="B485" s="1348"/>
      <c r="C485" s="2"/>
      <c r="D485" s="1348"/>
      <c r="E485" s="2"/>
      <c r="F485" s="1348"/>
      <c r="G485" s="2"/>
      <c r="H485" s="1348"/>
      <c r="I485" s="12"/>
      <c r="J485" s="7"/>
      <c r="K485" s="7"/>
      <c r="L485" s="18"/>
    </row>
    <row r="486" spans="1:12" x14ac:dyDescent="0.25">
      <c r="A486" s="1366"/>
      <c r="B486" s="1349"/>
      <c r="C486" s="2">
        <f>C471</f>
        <v>6</v>
      </c>
      <c r="D486" s="1349"/>
      <c r="E486" s="2">
        <f>C486</f>
        <v>6</v>
      </c>
      <c r="F486" s="1349"/>
      <c r="G486" s="2">
        <f>C486</f>
        <v>6</v>
      </c>
      <c r="H486" s="1349"/>
      <c r="I486" s="12" t="s">
        <v>185</v>
      </c>
      <c r="J486" s="7"/>
      <c r="K486" s="7"/>
      <c r="L486" s="18"/>
    </row>
    <row r="487" spans="1:12" ht="18" x14ac:dyDescent="0.35">
      <c r="A487" s="1367" t="s">
        <v>8</v>
      </c>
      <c r="B487" s="347" t="s">
        <v>345</v>
      </c>
      <c r="C487" s="435"/>
      <c r="D487" s="436"/>
      <c r="E487" s="2" t="str">
        <f>IF(OR($H$189="A",$H$189="B",$H$189="C"),IF(OR($H$180="X",$H$183="X"),IF(C492="X",IF($H$146="X",(IF($H$161="X",(IF(AND(C489&lt;$H$194,C489&gt;=$H$193),"SI","NO")),(IF($H$158="X",IF(AND((C489*$O$152/$O$149)&lt;$H$194,(C489*$O$152/$O$149)&gt;=$H$193),"SI","NO"),"ERRORE")))),IF($H$143="X",IF($H$158="X",(IF(AND(C489&lt;$H$194,C489&gt;=$H$193),"SI","NO")),"ERRORE"),"ERRORE")),"NON SERVE"),IF($H$186="X",IF($H$146="X",(IF($H$161="X",(IF(AND(MAX(C486,E486,G486,)&lt;$H$194,MAX(C486,E486,G486)&gt;=$H$193),"SI","NO")),(IF($H$158="X",IF(AND((MAX(C486,E486,G486)*$O$152/$O$149)&lt;$H$194,(MAX(C486,E486,G486)*$O$152/$O$149)&gt;=$H$193),"SI","NO"),"ERRORE")))),IF($H$143="X",IF($H$158="X",(IF(AND(MAX(C486,E486,G486)&lt;$H$194,MAX(C486,E486,G486)&gt;=$H$193),"SI","NO")),"ERRORE"),"ERRORE")))),"NON SERVE")</f>
        <v>NO</v>
      </c>
      <c r="F487" s="347" t="s">
        <v>322</v>
      </c>
      <c r="G487" s="4"/>
      <c r="H487" s="4"/>
      <c r="I487" s="2" t="str">
        <f>IF($H$189="0,2S",IF(OR($H$180="X",$H$183="X"),IF(C492="X",IF($H$146="X",(IF($H$161="X",(IF(AND(C489&lt;0.1*$H$192,C489&gt;=$H$193),"SI","NO")),(IF($H$158="X",IF(AND((C489*$O$152/$O$149)&lt;0.1*$H$192,(C489*$O$152/$O$149)&gt;=$H$193),"SI","NO"),"ERRORE")))),IF($H$143="X",IF($H$158="X",(IF(AND(C489&lt;0.1*$H$192,C489&gt;=$H$193),"SI","NO")),"ERRORE"),"ERRORE")),"NON SERVE"),IF($H$186="X",IF($H$146="X",(IF($H$161="X",(IF(AND(MAX(C486,E486,G486,)&lt;0.1*$H$192,MAX(C486,E486,G486)&gt;=$H$193),"SI","NO")),(IF($H$158="X",IF(AND((MAX(C486,E486,G486)*$O$152/$O$149)&lt;0.1*$H$192,(MAX(C486,E486,G486)*$O$152/$O$149)&gt;=$H$193),"SI","NO"),"ERRORE")))),IF($H$143="X",IF($H$158="X",(IF(AND(MAX(C486,E486,G486)&lt;0.1*$H$192,MAX(C486,E486,G486)&gt;=$H$193),"SI","NO")),"ERRORE"),"ERRORE")))),"NON SERVE")</f>
        <v>NON SERVE</v>
      </c>
      <c r="J487" s="7"/>
      <c r="K487" s="7"/>
      <c r="L487" s="18"/>
    </row>
    <row r="488" spans="1:12" x14ac:dyDescent="0.25">
      <c r="A488" s="1367"/>
      <c r="B488" s="9" t="s">
        <v>188</v>
      </c>
      <c r="C488" s="9">
        <f>ROUND(AVERAGE(C483,E483,G483),$H$163)</f>
        <v>57.7</v>
      </c>
      <c r="D488" s="9"/>
      <c r="E488" s="9"/>
      <c r="F488" s="351" t="s">
        <v>550</v>
      </c>
      <c r="G488" s="12" t="str">
        <f>G473</f>
        <v>A+</v>
      </c>
      <c r="H488" s="124" t="s">
        <v>238</v>
      </c>
      <c r="I488" s="12" t="str">
        <f>I473</f>
        <v>1.8.0</v>
      </c>
      <c r="J488" s="7"/>
      <c r="K488" s="7"/>
      <c r="L488" s="18"/>
    </row>
    <row r="489" spans="1:12" x14ac:dyDescent="0.25">
      <c r="A489" s="1367"/>
      <c r="B489" s="9" t="s">
        <v>189</v>
      </c>
      <c r="C489" s="440">
        <f>ROUND(AVERAGE(C486,E486,G486),$H$162)</f>
        <v>6</v>
      </c>
      <c r="D489" s="1363" t="s">
        <v>297</v>
      </c>
      <c r="E489" s="9"/>
      <c r="F489" s="7"/>
      <c r="G489" s="7"/>
      <c r="H489" s="9" t="s">
        <v>177</v>
      </c>
      <c r="I489" s="416">
        <f>IF('RAPPORTO ISPEZIONE'!F228&lt;&gt;"",'RAPPORTO ISPEZIONE'!F228,"")</f>
        <v>8.0000000000000004E-4</v>
      </c>
      <c r="J489" s="302"/>
      <c r="K489" s="417">
        <f>IF(AND(I489="",J489=""),"",IF(I489="",J489,I489))</f>
        <v>8.0000000000000004E-4</v>
      </c>
      <c r="L489" s="33" t="s">
        <v>191</v>
      </c>
    </row>
    <row r="490" spans="1:12" x14ac:dyDescent="0.25">
      <c r="A490" s="1367"/>
      <c r="B490" s="6" t="s">
        <v>332</v>
      </c>
      <c r="C490" s="441">
        <f>IF($O$141="X",IF($H$161="X",IF(C492="X",C489/$O$152,IF(E492="X",C486/$O$152,IF(G492="X",E486/$O$152,IF(I492="X",G486/$O$152,"ERRORE")))),IF($H$158="X",IF(C492="X",C489/$O$149,IF(E492="X",C486/$O$149,IF(G492="X",E486/$O$149,IF(I492="X",G486/$O$149,"ERRORE")))))),"NON SERVE")</f>
        <v>1.2</v>
      </c>
      <c r="D490" s="1363"/>
      <c r="E490" s="9"/>
      <c r="F490" s="7"/>
      <c r="G490" s="7"/>
      <c r="H490" s="9" t="s">
        <v>178</v>
      </c>
      <c r="I490" s="416">
        <f>IF('RAPPORTO ISPEZIONE'!G228&lt;&gt;"",'RAPPORTO ISPEZIONE'!G228,"")</f>
        <v>8.0000000000000004E-4</v>
      </c>
      <c r="J490" s="302"/>
      <c r="K490" s="417">
        <f>IF(AND(I490="",J490=""),"",IF(I490="",J490,I490))</f>
        <v>8.0000000000000004E-4</v>
      </c>
      <c r="L490" s="420">
        <f>ROUND(AVERAGE(K489,K490,K491),$H$164+2)</f>
        <v>8.0000000000000004E-4</v>
      </c>
    </row>
    <row r="491" spans="1:12" x14ac:dyDescent="0.25">
      <c r="A491" s="1367"/>
      <c r="B491" s="27" t="s">
        <v>333</v>
      </c>
      <c r="C491" s="442">
        <f>IF($O$159="X",IF($H$161="X",IF($O$162="X",IF(E491="F-N",C488/$O$171,C488/($O$171*SQRT(3))),IF($O$161="X",IF(E491="F-F",C488/$O$171,"ERRORE"),IF($O$160="X",C488/$O$171))),IF($O$159="X",IF($H$158="X",IF($O$162="X",IF(E491="F-N",C488/$O$167,C488/($O$167*SQRT(3))),IF($O$161="X",IF(E491="F-F",C488/$O$167,"ERRORE"),IF($O$160="X",C488/$O$167)))))))</f>
        <v>0.57700000000000007</v>
      </c>
      <c r="D491" s="1363"/>
      <c r="E491" s="353" t="str">
        <f>E476</f>
        <v>F-N</v>
      </c>
      <c r="F491" s="7"/>
      <c r="G491" s="7"/>
      <c r="H491" s="9" t="s">
        <v>179</v>
      </c>
      <c r="I491" s="416">
        <f>IF('RAPPORTO ISPEZIONE'!H228&lt;&gt;"",'RAPPORTO ISPEZIONE'!H228,"")</f>
        <v>8.0000000000000004E-4</v>
      </c>
      <c r="J491" s="302"/>
      <c r="K491" s="417">
        <f>IF(AND(I491="",J491=""),"",IF(I491="",J491,I491))</f>
        <v>8.0000000000000004E-4</v>
      </c>
      <c r="L491" s="33"/>
    </row>
    <row r="492" spans="1:12" x14ac:dyDescent="0.25">
      <c r="A492" s="422" t="s">
        <v>286</v>
      </c>
      <c r="B492" s="9" t="s">
        <v>282</v>
      </c>
      <c r="C492" s="12" t="str">
        <f>IF(OR($H$180="X",$H$183="X"),"X",IF($H$186="X",""))</f>
        <v>X</v>
      </c>
      <c r="D492" s="9" t="s">
        <v>283</v>
      </c>
      <c r="E492" s="12" t="str">
        <f>IF(OR($H$180="X",$H$183="X"),"",IF($H$186="X","X"))</f>
        <v/>
      </c>
      <c r="F492" s="26" t="s">
        <v>284</v>
      </c>
      <c r="G492" s="12" t="str">
        <f>IF(OR($H$180="X",$H$183="X"),"",IF($H$186="X",""))</f>
        <v/>
      </c>
      <c r="H492" s="28" t="s">
        <v>285</v>
      </c>
      <c r="I492" s="12" t="str">
        <f>IF(OR($H$180="X",$H$183="X"),"",IF($H$186="X",""))</f>
        <v/>
      </c>
      <c r="J492" s="7"/>
      <c r="K492" s="7"/>
      <c r="L492" s="423" t="str">
        <f>IF(B480="X",IF((IF(C492="X",1,0)+IF(E492="X",1,0)+IF(G492="X",1,0)+IF(I492="X",1,0))&lt;&gt;1,"ERRORE",""),"")</f>
        <v/>
      </c>
    </row>
    <row r="493" spans="1:12" x14ac:dyDescent="0.25">
      <c r="A493" s="424"/>
      <c r="B493" s="7"/>
      <c r="C493" s="7"/>
      <c r="D493" s="7"/>
      <c r="E493" s="7"/>
      <c r="F493" s="7"/>
      <c r="G493" s="7"/>
      <c r="H493" s="7"/>
      <c r="I493" s="5"/>
      <c r="J493" s="5"/>
      <c r="K493" s="7"/>
      <c r="L493" s="18"/>
    </row>
    <row r="494" spans="1:12" x14ac:dyDescent="0.25">
      <c r="A494" s="424"/>
      <c r="B494" s="7"/>
      <c r="C494" s="7"/>
      <c r="D494" s="7"/>
      <c r="E494" s="7"/>
      <c r="F494" s="7"/>
      <c r="G494" s="7"/>
      <c r="H494" s="7"/>
      <c r="I494" s="7"/>
      <c r="J494" s="7"/>
      <c r="K494" s="7"/>
      <c r="L494" s="18"/>
    </row>
    <row r="495" spans="1:12" x14ac:dyDescent="0.25">
      <c r="A495" s="411" t="s">
        <v>315</v>
      </c>
      <c r="B495" s="289" t="s">
        <v>1230</v>
      </c>
      <c r="C495" s="434" t="s">
        <v>732</v>
      </c>
      <c r="D495" s="7"/>
      <c r="E495" s="7"/>
      <c r="F495" s="7"/>
      <c r="G495" s="7"/>
      <c r="H495" s="7"/>
      <c r="I495" s="7"/>
      <c r="J495" s="7"/>
      <c r="K495" s="7"/>
      <c r="L495" s="18"/>
    </row>
    <row r="496" spans="1:12" s="3" customFormat="1" x14ac:dyDescent="0.25">
      <c r="A496" s="1364" t="s">
        <v>166</v>
      </c>
      <c r="B496" s="1347" t="s">
        <v>167</v>
      </c>
      <c r="C496" s="2"/>
      <c r="D496" s="1363" t="s">
        <v>168</v>
      </c>
      <c r="E496" s="2"/>
      <c r="F496" s="1363" t="s">
        <v>169</v>
      </c>
      <c r="G496" s="2"/>
      <c r="H496" s="1363" t="s">
        <v>174</v>
      </c>
      <c r="I496" s="2"/>
      <c r="J496" s="7"/>
      <c r="K496" s="7"/>
      <c r="L496" s="412"/>
    </row>
    <row r="497" spans="1:12" s="3" customFormat="1" x14ac:dyDescent="0.25">
      <c r="A497" s="1365"/>
      <c r="B497" s="1348"/>
      <c r="C497" s="439"/>
      <c r="D497" s="1363"/>
      <c r="E497" s="439"/>
      <c r="F497" s="1363"/>
      <c r="G497" s="439"/>
      <c r="H497" s="1363"/>
      <c r="I497" s="12"/>
      <c r="J497" s="7"/>
      <c r="K497" s="7"/>
      <c r="L497" s="412"/>
    </row>
    <row r="498" spans="1:12" s="3" customFormat="1" x14ac:dyDescent="0.25">
      <c r="A498" s="1366"/>
      <c r="B498" s="1349"/>
      <c r="C498" s="439">
        <f>C483</f>
        <v>57.7</v>
      </c>
      <c r="D498" s="1363"/>
      <c r="E498" s="439">
        <f>E483</f>
        <v>57.7</v>
      </c>
      <c r="F498" s="1363"/>
      <c r="G498" s="439">
        <f>G483</f>
        <v>57.7</v>
      </c>
      <c r="H498" s="1363"/>
      <c r="I498" s="12">
        <v>1</v>
      </c>
      <c r="J498" s="7"/>
      <c r="K498" s="7"/>
      <c r="L498" s="412"/>
    </row>
    <row r="499" spans="1:12" x14ac:dyDescent="0.25">
      <c r="A499" s="1364" t="s">
        <v>170</v>
      </c>
      <c r="B499" s="1347" t="s">
        <v>171</v>
      </c>
      <c r="C499" s="383">
        <f>IF('RAPPORTO ISPEZIONE'!C229&lt;&gt;"",'RAPPORTO ISPEZIONE'!C229,"")</f>
        <v>5</v>
      </c>
      <c r="D499" s="1363" t="s">
        <v>172</v>
      </c>
      <c r="E499" s="353"/>
      <c r="F499" s="1363" t="s">
        <v>173</v>
      </c>
      <c r="G499" s="353"/>
      <c r="H499" s="1347" t="s">
        <v>175</v>
      </c>
      <c r="I499" s="9"/>
      <c r="J499" s="7"/>
      <c r="K499" s="7"/>
      <c r="L499" s="18"/>
    </row>
    <row r="500" spans="1:12" x14ac:dyDescent="0.25">
      <c r="A500" s="1365"/>
      <c r="B500" s="1348"/>
      <c r="C500" s="301"/>
      <c r="D500" s="1363"/>
      <c r="E500" s="353"/>
      <c r="F500" s="1363"/>
      <c r="G500" s="353"/>
      <c r="H500" s="1348"/>
      <c r="I500" s="12"/>
      <c r="J500" s="7"/>
      <c r="K500" s="7"/>
      <c r="L500" s="18"/>
    </row>
    <row r="501" spans="1:12" x14ac:dyDescent="0.25">
      <c r="A501" s="1366"/>
      <c r="B501" s="1349"/>
      <c r="C501" s="12">
        <f>IF(C499="",IF(C500="","",C500),C499)</f>
        <v>5</v>
      </c>
      <c r="D501" s="1363"/>
      <c r="E501" s="353"/>
      <c r="F501" s="1363"/>
      <c r="G501" s="353"/>
      <c r="H501" s="1349"/>
      <c r="I501" s="12" t="s">
        <v>185</v>
      </c>
      <c r="J501" s="7"/>
      <c r="K501" s="7"/>
      <c r="L501" s="18"/>
    </row>
    <row r="502" spans="1:12" ht="18" x14ac:dyDescent="0.35">
      <c r="A502" s="1367" t="s">
        <v>8</v>
      </c>
      <c r="B502" s="347" t="s">
        <v>345</v>
      </c>
      <c r="C502" s="435"/>
      <c r="D502" s="436"/>
      <c r="E502" s="2" t="str">
        <f>IF(OR($H$189="A",$H$189="B",$H$189="C"),IF(OR($H$180="X",$H$183="X"),IF(C507="X",IF($H$146="X",(IF($H$161="X",(IF(AND(C504&lt;$H$194,C504&gt;=$H$193),"SI","NO")),(IF($H$158="X",IF(AND((C504*$O$152/$O$149)&lt;$H$194,(C504*$O$152/$O$149)&gt;=$H$193),"SI","NO"),"ERRORE")))),IF($H$143="X",IF($H$158="X",(IF(AND(C504&lt;$H$194,C504&gt;=$H$193),"SI","NO")),"ERRORE"),"ERRORE")),"NON SERVE"),IF($H$186="X",IF($H$146="X",(IF($H$161="X",(IF(AND(MAX(C501,E501,G501,)&lt;$H$194,MAX(C501,E501,G501)&gt;=$H$193),"SI","NO")),(IF($H$158="X",IF(AND((MAX(C501,E501,G501)*$O$152/$O$149)&lt;$H$194,(MAX(C501,E501,G501)*$O$152/$O$149)&gt;=$H$193),"SI","NO"),"ERRORE")))),IF($H$143="X",IF($H$158="X",(IF(AND(MAX(C501,E501,G501)&lt;$H$194,MAX(C501,E501,G501)&gt;=$H$193),"SI","NO")),"ERRORE"),"ERRORE")))),"NON SERVE")</f>
        <v>NON SERVE</v>
      </c>
      <c r="F502" s="347" t="s">
        <v>322</v>
      </c>
      <c r="G502" s="4"/>
      <c r="H502" s="4"/>
      <c r="I502" s="2" t="str">
        <f>IF($H$189="0,2S",IF(OR($H$180="X",$H$183="X"),IF(C507="X",IF($H$146="X",(IF($H$161="X",(IF(AND(C504&lt;0.1*$H$192,C504&gt;=$H$193),"SI","NO")),(IF($H$158="X",IF(AND((C504*$O$152/$O$149)&lt;0.1*$H$192,(C504*$O$152/$O$149)&gt;=$H$193),"SI","NO"),"ERRORE")))),IF($H$143="X",IF($H$158="X",(IF(AND(C504&lt;0.1*$H$192,C504&gt;=$H$193),"SI","NO")),"ERRORE"),"ERRORE")),"NON SERVE"),IF($H$186="X",IF($H$146="X",(IF($H$161="X",(IF(AND(MAX(C501,E501,G501,)&lt;0.1*$H$192,MAX(C501,E501,G501)&gt;=$H$193),"SI","NO")),(IF($H$158="X",IF(AND((MAX(C501,E501,G501)*$O$152/$O$149)&lt;0.1*$H$192,(MAX(C501,E501,G501)*$O$152/$O$149)&gt;=$H$193),"SI","NO"),"ERRORE")))),IF($H$143="X",IF($H$158="X",(IF(AND(MAX(C501,E501,G501)&lt;0.1*$H$192,MAX(C501,E501,G501)&gt;=$H$193),"SI","NO")),"ERRORE"),"ERRORE")))),"NON SERVE")</f>
        <v>NON SERVE</v>
      </c>
      <c r="J502" s="7"/>
      <c r="K502" s="7"/>
      <c r="L502" s="18"/>
    </row>
    <row r="503" spans="1:12" x14ac:dyDescent="0.25">
      <c r="A503" s="1367"/>
      <c r="B503" s="9" t="s">
        <v>188</v>
      </c>
      <c r="C503" s="9">
        <f>ROUND(AVERAGE(C498,E498,G498),$H$163)</f>
        <v>57.7</v>
      </c>
      <c r="D503" s="9"/>
      <c r="E503" s="9"/>
      <c r="F503" s="351" t="s">
        <v>550</v>
      </c>
      <c r="G503" s="12" t="str">
        <f>G488</f>
        <v>A+</v>
      </c>
      <c r="H503" s="124" t="s">
        <v>238</v>
      </c>
      <c r="I503" s="12" t="str">
        <f>I488</f>
        <v>1.8.0</v>
      </c>
      <c r="J503" s="7"/>
      <c r="K503" s="7"/>
      <c r="L503" s="18"/>
    </row>
    <row r="504" spans="1:12" x14ac:dyDescent="0.25">
      <c r="A504" s="1367"/>
      <c r="B504" s="9" t="s">
        <v>189</v>
      </c>
      <c r="C504" s="440">
        <f>ROUND(AVERAGE(C501,E501,G501),$H$162)</f>
        <v>5</v>
      </c>
      <c r="D504" s="1363" t="s">
        <v>297</v>
      </c>
      <c r="E504" s="9"/>
      <c r="F504" s="7"/>
      <c r="G504" s="7"/>
      <c r="H504" s="9" t="s">
        <v>177</v>
      </c>
      <c r="I504" s="416">
        <f>IF('RAPPORTO ISPEZIONE'!F229&lt;&gt;"",'RAPPORTO ISPEZIONE'!F229,"")</f>
        <v>8.9999999999999998E-4</v>
      </c>
      <c r="J504" s="302"/>
      <c r="K504" s="417">
        <f>IF(AND(I504="",J504=""),"",IF(I504="",J504,I504))</f>
        <v>8.9999999999999998E-4</v>
      </c>
      <c r="L504" s="33" t="s">
        <v>191</v>
      </c>
    </row>
    <row r="505" spans="1:12" x14ac:dyDescent="0.25">
      <c r="A505" s="1367"/>
      <c r="B505" s="6" t="s">
        <v>332</v>
      </c>
      <c r="C505" s="441">
        <f>IF($O$141="X",IF($H$161="X",IF(C507="X",C504/$O$152,IF(E507="X",C501/$O$152,IF(G507="X",E501/$O$152,IF(I507="X",G501/$O$152,"ERRORE")))),IF($H$158="X",IF(C507="X",C504/$O$149,IF(E507="X",C501/$O$149,IF(G507="X",E501/$O$149,IF(I507="X",G501/$O$149,"ERRORE")))))),"NON SERVE")</f>
        <v>1</v>
      </c>
      <c r="D505" s="1363"/>
      <c r="E505" s="9"/>
      <c r="F505" s="7"/>
      <c r="G505" s="7"/>
      <c r="H505" s="9" t="s">
        <v>178</v>
      </c>
      <c r="I505" s="416">
        <f>IF('RAPPORTO ISPEZIONE'!G229&lt;&gt;"",'RAPPORTO ISPEZIONE'!G229,"")</f>
        <v>8.9999999999999998E-4</v>
      </c>
      <c r="J505" s="302"/>
      <c r="K505" s="417">
        <f>IF(AND(I505="",J505=""),"",IF(I505="",J505,I505))</f>
        <v>8.9999999999999998E-4</v>
      </c>
      <c r="L505" s="420">
        <f>ROUND(AVERAGE(K504,K505,K506),$H$164+2)</f>
        <v>8.9999999999999998E-4</v>
      </c>
    </row>
    <row r="506" spans="1:12" x14ac:dyDescent="0.25">
      <c r="A506" s="1367"/>
      <c r="B506" s="27" t="s">
        <v>333</v>
      </c>
      <c r="C506" s="442">
        <f>IF($O$159="X",IF($H$161="X",IF($O$162="X",IF(E506="F-N",C503/$O$171,C503/($O$171*SQRT(3))),IF($O$161="X",IF(E506="F-F",C503/$O$171,"ERRORE"),IF($O$160="X",C503/$O$171))),IF($O$159="X",IF($H$158="X",IF($O$162="X",IF(E506="F-N",C503/$O$167,C503/($O$167*SQRT(3))),IF($O$161="X",IF(E506="F-F",C503/$O$167,"ERRORE"),IF($O$160="X",C503/$O$167)))))))</f>
        <v>0.57700000000000007</v>
      </c>
      <c r="D506" s="1363"/>
      <c r="E506" s="353" t="str">
        <f>E491</f>
        <v>F-N</v>
      </c>
      <c r="F506" s="7"/>
      <c r="G506" s="7"/>
      <c r="H506" s="9" t="s">
        <v>179</v>
      </c>
      <c r="I506" s="416">
        <f>IF('RAPPORTO ISPEZIONE'!H229&lt;&gt;"",'RAPPORTO ISPEZIONE'!H229,"")</f>
        <v>8.9999999999999998E-4</v>
      </c>
      <c r="J506" s="302"/>
      <c r="K506" s="417">
        <f>IF(AND(I506="",J506=""),"",IF(I506="",J506,I506))</f>
        <v>8.9999999999999998E-4</v>
      </c>
      <c r="L506" s="33"/>
    </row>
    <row r="507" spans="1:12" x14ac:dyDescent="0.25">
      <c r="A507" s="422" t="s">
        <v>286</v>
      </c>
      <c r="B507" s="9" t="s">
        <v>282</v>
      </c>
      <c r="C507" s="12" t="str">
        <f>IF(OR($H$180="X",$H$183="X"),"",IF($H$186="X",""))</f>
        <v/>
      </c>
      <c r="D507" s="9" t="s">
        <v>283</v>
      </c>
      <c r="E507" s="12" t="str">
        <f>IF(OR($H$180="X",$H$183="X"),"X",IF($H$186="X",""))</f>
        <v>X</v>
      </c>
      <c r="F507" s="26" t="s">
        <v>284</v>
      </c>
      <c r="G507" s="12" t="str">
        <f>IF(OR($H$180="X",$H$183="X"),"",IF($H$186="X",""))</f>
        <v/>
      </c>
      <c r="H507" s="28" t="s">
        <v>285</v>
      </c>
      <c r="I507" s="12" t="str">
        <f>IF(OR($H$180="X",$H$183="X"),"",IF($H$186="X",""))</f>
        <v/>
      </c>
      <c r="J507" s="7"/>
      <c r="K507" s="7"/>
      <c r="L507" s="423" t="str">
        <f>IF(B495="X",IF((IF(C507="X",1,0)+IF(E507="X",1,0)+IF(G507="X",1,0)+IF(I507="X",1,0))&lt;&gt;1,"ERRORE",""),"")</f>
        <v/>
      </c>
    </row>
    <row r="508" spans="1:12" x14ac:dyDescent="0.25">
      <c r="A508" s="424"/>
      <c r="B508" s="7"/>
      <c r="C508" s="7"/>
      <c r="D508" s="7"/>
      <c r="E508" s="7"/>
      <c r="F508" s="7"/>
      <c r="G508" s="7"/>
      <c r="H508" s="7"/>
      <c r="I508" s="7"/>
      <c r="J508" s="5"/>
      <c r="K508" s="7"/>
      <c r="L508" s="18"/>
    </row>
    <row r="509" spans="1:12" x14ac:dyDescent="0.25">
      <c r="A509" s="424"/>
      <c r="B509" s="7"/>
      <c r="C509" s="7"/>
      <c r="D509" s="7"/>
      <c r="E509" s="7"/>
      <c r="F509" s="7"/>
      <c r="G509" s="7"/>
      <c r="H509" s="7"/>
      <c r="I509" s="7"/>
      <c r="J509" s="7"/>
      <c r="K509" s="7"/>
      <c r="L509" s="18"/>
    </row>
    <row r="510" spans="1:12" x14ac:dyDescent="0.25">
      <c r="A510" s="411" t="s">
        <v>316</v>
      </c>
      <c r="B510" s="289"/>
      <c r="C510" s="434" t="s">
        <v>733</v>
      </c>
      <c r="D510" s="7"/>
      <c r="E510" s="7"/>
      <c r="F510" s="7"/>
      <c r="G510" s="7"/>
      <c r="H510" s="7"/>
      <c r="I510" s="7"/>
      <c r="J510" s="7"/>
      <c r="K510" s="7"/>
      <c r="L510" s="18"/>
    </row>
    <row r="511" spans="1:12" x14ac:dyDescent="0.25">
      <c r="A511" s="1364" t="s">
        <v>166</v>
      </c>
      <c r="B511" s="1347" t="s">
        <v>167</v>
      </c>
      <c r="C511" s="2"/>
      <c r="D511" s="1363" t="s">
        <v>168</v>
      </c>
      <c r="E511" s="2"/>
      <c r="F511" s="1363" t="s">
        <v>169</v>
      </c>
      <c r="G511" s="2"/>
      <c r="H511" s="1363" t="s">
        <v>174</v>
      </c>
      <c r="I511" s="2"/>
      <c r="J511" s="7"/>
      <c r="K511" s="7"/>
      <c r="L511" s="18"/>
    </row>
    <row r="512" spans="1:12" x14ac:dyDescent="0.25">
      <c r="A512" s="1365"/>
      <c r="B512" s="1348"/>
      <c r="C512" s="439"/>
      <c r="D512" s="1363"/>
      <c r="E512" s="439"/>
      <c r="F512" s="1363"/>
      <c r="G512" s="439"/>
      <c r="H512" s="1363"/>
      <c r="I512" s="12"/>
      <c r="J512" s="7"/>
      <c r="K512" s="7"/>
      <c r="L512" s="18"/>
    </row>
    <row r="513" spans="1:12" x14ac:dyDescent="0.25">
      <c r="A513" s="1366"/>
      <c r="B513" s="1349"/>
      <c r="C513" s="439">
        <f>C498</f>
        <v>57.7</v>
      </c>
      <c r="D513" s="1363"/>
      <c r="E513" s="439">
        <f>E498</f>
        <v>57.7</v>
      </c>
      <c r="F513" s="1363"/>
      <c r="G513" s="439">
        <f>G498</f>
        <v>57.7</v>
      </c>
      <c r="H513" s="1363"/>
      <c r="I513" s="12">
        <v>1</v>
      </c>
      <c r="J513" s="7"/>
      <c r="K513" s="7"/>
      <c r="L513" s="18"/>
    </row>
    <row r="514" spans="1:12" x14ac:dyDescent="0.25">
      <c r="A514" s="1364" t="s">
        <v>170</v>
      </c>
      <c r="B514" s="1347" t="s">
        <v>171</v>
      </c>
      <c r="C514" s="7"/>
      <c r="D514" s="1347" t="s">
        <v>172</v>
      </c>
      <c r="E514" s="383" t="str">
        <f>IF('RAPPORTO ISPEZIONE'!C230&lt;&gt;"",'RAPPORTO ISPEZIONE'!C230,"")</f>
        <v/>
      </c>
      <c r="F514" s="1347" t="s">
        <v>173</v>
      </c>
      <c r="G514" s="7"/>
      <c r="H514" s="1347" t="s">
        <v>175</v>
      </c>
      <c r="I514" s="9"/>
      <c r="J514" s="7"/>
      <c r="K514" s="7"/>
      <c r="L514" s="18"/>
    </row>
    <row r="515" spans="1:12" x14ac:dyDescent="0.25">
      <c r="A515" s="1365"/>
      <c r="B515" s="1348"/>
      <c r="C515" s="2"/>
      <c r="D515" s="1348"/>
      <c r="E515" s="301"/>
      <c r="F515" s="1348"/>
      <c r="G515" s="2"/>
      <c r="H515" s="1348"/>
      <c r="I515" s="12"/>
      <c r="J515" s="7"/>
      <c r="K515" s="7"/>
      <c r="L515" s="18"/>
    </row>
    <row r="516" spans="1:12" x14ac:dyDescent="0.25">
      <c r="A516" s="1366"/>
      <c r="B516" s="1349"/>
      <c r="C516" s="12"/>
      <c r="D516" s="1349"/>
      <c r="E516" s="12" t="str">
        <f>IF(E514="",IF(E515="","",E515),E514)</f>
        <v/>
      </c>
      <c r="F516" s="1349"/>
      <c r="G516" s="12"/>
      <c r="H516" s="1349"/>
      <c r="I516" s="12" t="s">
        <v>185</v>
      </c>
      <c r="J516" s="7"/>
      <c r="K516" s="7"/>
      <c r="L516" s="18"/>
    </row>
    <row r="517" spans="1:12" ht="18" x14ac:dyDescent="0.35">
      <c r="A517" s="1367" t="s">
        <v>8</v>
      </c>
      <c r="B517" s="347" t="s">
        <v>345</v>
      </c>
      <c r="C517" s="435"/>
      <c r="D517" s="436"/>
      <c r="E517" s="2" t="str">
        <f>IF(OR($H$189="A",$H$189="B",$H$189="C"),IF(OR($H$180="X",$H$183="X"),IF(C522="X",IF($H$146="X",(IF($H$161="X",(IF(AND(C519&lt;$H$194,C519&gt;=$H$193),"SI","NO")),(IF($H$158="X",IF(AND((C519*$O$152/$O$149)&lt;$H$194,(C519*$O$152/$O$149)&gt;=$H$193),"SI","NO"),"ERRORE")))),IF($H$143="X",IF($H$158="X",(IF(AND(C519&lt;$H$194,C519&gt;=$H$193),"SI","NO")),"ERRORE"),"ERRORE")),"NON SERVE"),IF($H$186="X",IF($H$146="X",(IF($H$161="X",(IF(AND(MAX(C516,E516,G516,)&lt;$H$194,MAX(C516,E516,G516)&gt;=$H$193),"SI","NO")),(IF($H$158="X",IF(AND((MAX(C516,E516,G516)*$O$152/$O$149)&lt;$H$194,(MAX(C516,E516,G516)*$O$152/$O$149)&gt;=$H$193),"SI","NO"),"ERRORE")))),IF($H$143="X",IF($H$158="X",(IF(AND(MAX(C516,E516,G516)&lt;$H$194,MAX(C516,E516,G516)&gt;=$H$193),"SI","NO")),"ERRORE"),"ERRORE")))),"NON SERVE")</f>
        <v>NON SERVE</v>
      </c>
      <c r="F517" s="347" t="s">
        <v>322</v>
      </c>
      <c r="G517" s="4"/>
      <c r="H517" s="4"/>
      <c r="I517" s="2" t="str">
        <f>IF($H$189="0,2S",IF(OR($H$180="X",$H$183="X"),IF(C522="X",IF($H$146="X",(IF($H$161="X",(IF(AND(C519&lt;0.1*$H$192,C519&gt;=$H$193),"SI","NO")),(IF($H$158="X",IF(AND((C519*$O$152/$O$149)&lt;0.1*$H$192,(C519*$O$152/$O$149)&gt;=$H$193),"SI","NO"),"ERRORE")))),IF($H$143="X",IF($H$158="X",(IF(AND(C519&lt;0.1*$H$192,C519&gt;=$H$193),"SI","NO")),"ERRORE"),"ERRORE")),"NON SERVE"),IF($H$186="X",IF($H$146="X",(IF($H$161="X",(IF(AND(MAX(C516,E516,G516,)&lt;0.1*$H$192,MAX(C516,E516,G516)&gt;=$H$193),"SI","NO")),(IF($H$158="X",IF(AND((MAX(C516,E516,G516)*$O$152/$O$149)&lt;0.1*$H$192,(MAX(C516,E516,G516)*$O$152/$O$149)&gt;=$H$193),"SI","NO"),"ERRORE")))),IF($H$143="X",IF($H$158="X",(IF(AND(MAX(C516,E516,G516)&lt;0.1*$H$192,MAX(C516,E516,G516)&gt;=$H$193),"SI","NO")),"ERRORE"),"ERRORE")))),"NON SERVE")</f>
        <v>NON SERVE</v>
      </c>
      <c r="J517" s="7"/>
      <c r="K517" s="7"/>
      <c r="L517" s="18"/>
    </row>
    <row r="518" spans="1:12" x14ac:dyDescent="0.25">
      <c r="A518" s="1367"/>
      <c r="B518" s="9" t="s">
        <v>188</v>
      </c>
      <c r="C518" s="9">
        <f>ROUND(AVERAGE(C513,E513,G513),$H$163)</f>
        <v>57.7</v>
      </c>
      <c r="D518" s="9"/>
      <c r="E518" s="9"/>
      <c r="F518" s="351" t="s">
        <v>550</v>
      </c>
      <c r="G518" s="12" t="str">
        <f>G503</f>
        <v>A+</v>
      </c>
      <c r="H518" s="124" t="s">
        <v>238</v>
      </c>
      <c r="I518" s="12" t="str">
        <f>I503</f>
        <v>1.8.0</v>
      </c>
      <c r="J518" s="7"/>
      <c r="K518" s="7"/>
      <c r="L518" s="18"/>
    </row>
    <row r="519" spans="1:12" x14ac:dyDescent="0.25">
      <c r="A519" s="1367"/>
      <c r="B519" s="9" t="s">
        <v>189</v>
      </c>
      <c r="C519" s="440" t="e">
        <f>ROUND(AVERAGE(C516,E516,G516),$H$162)</f>
        <v>#DIV/0!</v>
      </c>
      <c r="D519" s="1363" t="s">
        <v>297</v>
      </c>
      <c r="E519" s="9"/>
      <c r="F519" s="7"/>
      <c r="G519" s="7"/>
      <c r="H519" s="9" t="s">
        <v>177</v>
      </c>
      <c r="I519" s="416" t="str">
        <f>IF('RAPPORTO ISPEZIONE'!F230&lt;&gt;"",'RAPPORTO ISPEZIONE'!F230,"")</f>
        <v/>
      </c>
      <c r="J519" s="302"/>
      <c r="K519" s="417" t="str">
        <f>IF(AND(I519="",J519=""),"",IF(I519="",J519,I519))</f>
        <v/>
      </c>
      <c r="L519" s="33" t="s">
        <v>191</v>
      </c>
    </row>
    <row r="520" spans="1:12" x14ac:dyDescent="0.25">
      <c r="A520" s="1367"/>
      <c r="B520" s="6" t="s">
        <v>332</v>
      </c>
      <c r="C520" s="441" t="e">
        <f>IF($O$141="X",IF($H$161="X",IF(C522="X",C519/$O$152,IF(E522="X",C516/$O$152,IF(G522="X",E516/$O$152,IF(I522="X",G516/$O$152,"ERRORE")))),IF($H$158="X",IF(C522="X",C519/$O$149,IF(E522="X",C516/$O$149,IF(G522="X",E516/$O$149,IF(I522="X",G516/$O$149,"ERRORE")))))),"NON SERVE")</f>
        <v>#VALUE!</v>
      </c>
      <c r="D520" s="1363"/>
      <c r="E520" s="9"/>
      <c r="F520" s="7"/>
      <c r="G520" s="7"/>
      <c r="H520" s="9" t="s">
        <v>178</v>
      </c>
      <c r="I520" s="416" t="str">
        <f>IF('RAPPORTO ISPEZIONE'!G230&lt;&gt;"",'RAPPORTO ISPEZIONE'!G230,"")</f>
        <v/>
      </c>
      <c r="J520" s="302"/>
      <c r="K520" s="417" t="str">
        <f>IF(AND(I520="",J520=""),"",IF(I520="",J520,I520))</f>
        <v/>
      </c>
      <c r="L520" s="420" t="e">
        <f>ROUND(AVERAGE(K519,K520,K521),$H$164+2)</f>
        <v>#DIV/0!</v>
      </c>
    </row>
    <row r="521" spans="1:12" x14ac:dyDescent="0.25">
      <c r="A521" s="1367"/>
      <c r="B521" s="27" t="s">
        <v>333</v>
      </c>
      <c r="C521" s="442">
        <f>IF($O$159="X",IF($H$161="X",IF($O$162="X",IF(E521="F-N",C518/$O$171,C518/($O$171*SQRT(3))),IF($O$161="X",IF(E521="F-F",C518/$O$171,"ERRORE"),IF($O$160="X",C518/$O$171))),IF($O$159="X",IF($H$158="X",IF($O$162="X",IF(E521="F-N",C518/$O$167,C518/($O$167*SQRT(3))),IF($O$161="X",IF(E521="F-F",C518/$O$167,"ERRORE"),IF($O$160="X",C518/$O$167)))))))</f>
        <v>0.57700000000000007</v>
      </c>
      <c r="D521" s="1363"/>
      <c r="E521" s="353" t="str">
        <f>E506</f>
        <v>F-N</v>
      </c>
      <c r="F521" s="7"/>
      <c r="G521" s="7"/>
      <c r="H521" s="9" t="s">
        <v>179</v>
      </c>
      <c r="I521" s="416" t="str">
        <f>IF('RAPPORTO ISPEZIONE'!H230&lt;&gt;"",'RAPPORTO ISPEZIONE'!H230,"")</f>
        <v/>
      </c>
      <c r="J521" s="302"/>
      <c r="K521" s="417" t="str">
        <f>IF(AND(I521="",J521=""),"",IF(I521="",J521,I521))</f>
        <v/>
      </c>
      <c r="L521" s="33"/>
    </row>
    <row r="522" spans="1:12" x14ac:dyDescent="0.25">
      <c r="A522" s="422" t="s">
        <v>286</v>
      </c>
      <c r="B522" s="9" t="s">
        <v>282</v>
      </c>
      <c r="C522" s="12" t="str">
        <f>IF(OR($H$180="X",$H$183="X"),"",IF($H$186="X",""))</f>
        <v/>
      </c>
      <c r="D522" s="9" t="s">
        <v>283</v>
      </c>
      <c r="E522" s="12" t="str">
        <f>IF(OR($H$180="X",$H$183="X"),"",IF($H$186="X",""))</f>
        <v/>
      </c>
      <c r="F522" s="26" t="s">
        <v>284</v>
      </c>
      <c r="G522" s="12" t="str">
        <f>IF(OR($H$180="X",$H$183="X"),"X",IF($H$186="X",""))</f>
        <v>X</v>
      </c>
      <c r="H522" s="28" t="s">
        <v>285</v>
      </c>
      <c r="I522" s="12" t="str">
        <f>IF(OR($H$180="X",$H$183="X"),"",IF($H$186="X",""))</f>
        <v/>
      </c>
      <c r="J522" s="7"/>
      <c r="K522" s="7"/>
      <c r="L522" s="423" t="str">
        <f>IF(B510="X",IF((IF(C522="X",1,0)+IF(E522="X",1,0)+IF(G522="X",1,0)+IF(I522="X",1,0))&lt;&gt;1,"ERRORE",""),"")</f>
        <v/>
      </c>
    </row>
    <row r="523" spans="1:12" x14ac:dyDescent="0.25">
      <c r="A523" s="424"/>
      <c r="B523" s="7"/>
      <c r="C523" s="7"/>
      <c r="D523" s="7"/>
      <c r="E523" s="7"/>
      <c r="F523" s="7"/>
      <c r="G523" s="7"/>
      <c r="H523" s="7"/>
      <c r="I523" s="5"/>
      <c r="J523" s="5"/>
      <c r="K523" s="7"/>
      <c r="L523" s="18"/>
    </row>
    <row r="524" spans="1:12" x14ac:dyDescent="0.25">
      <c r="A524" s="424"/>
      <c r="B524" s="7"/>
      <c r="C524" s="7"/>
      <c r="D524" s="7"/>
      <c r="E524" s="7"/>
      <c r="F524" s="7"/>
      <c r="G524" s="7"/>
      <c r="H524" s="7"/>
      <c r="I524" s="7"/>
      <c r="J524" s="7"/>
      <c r="K524" s="7"/>
      <c r="L524" s="18"/>
    </row>
    <row r="525" spans="1:12" x14ac:dyDescent="0.25">
      <c r="A525" s="411" t="s">
        <v>317</v>
      </c>
      <c r="B525" s="289"/>
      <c r="C525" s="434" t="s">
        <v>734</v>
      </c>
      <c r="D525" s="7"/>
      <c r="E525" s="7"/>
      <c r="F525" s="7"/>
      <c r="G525" s="7"/>
      <c r="H525" s="7"/>
      <c r="I525" s="7"/>
      <c r="J525" s="7"/>
      <c r="K525" s="7"/>
      <c r="L525" s="18"/>
    </row>
    <row r="526" spans="1:12" x14ac:dyDescent="0.25">
      <c r="A526" s="1364" t="s">
        <v>166</v>
      </c>
      <c r="B526" s="1347" t="s">
        <v>167</v>
      </c>
      <c r="C526" s="2"/>
      <c r="D526" s="1363" t="s">
        <v>168</v>
      </c>
      <c r="E526" s="9"/>
      <c r="F526" s="1363" t="s">
        <v>169</v>
      </c>
      <c r="G526" s="9"/>
      <c r="H526" s="1363" t="s">
        <v>174</v>
      </c>
      <c r="I526" s="9"/>
      <c r="J526" s="7"/>
      <c r="K526" s="7"/>
      <c r="L526" s="18"/>
    </row>
    <row r="527" spans="1:12" x14ac:dyDescent="0.25">
      <c r="A527" s="1365"/>
      <c r="B527" s="1348"/>
      <c r="C527" s="439"/>
      <c r="D527" s="1363"/>
      <c r="E527" s="439"/>
      <c r="F527" s="1363"/>
      <c r="G527" s="439"/>
      <c r="H527" s="1363"/>
      <c r="I527" s="12"/>
      <c r="J527" s="7"/>
      <c r="K527" s="7"/>
      <c r="L527" s="18"/>
    </row>
    <row r="528" spans="1:12" x14ac:dyDescent="0.25">
      <c r="A528" s="1366"/>
      <c r="B528" s="1349"/>
      <c r="C528" s="439">
        <f>C513</f>
        <v>57.7</v>
      </c>
      <c r="D528" s="1363"/>
      <c r="E528" s="439">
        <f>E513</f>
        <v>57.7</v>
      </c>
      <c r="F528" s="1363"/>
      <c r="G528" s="439">
        <f>G513</f>
        <v>57.7</v>
      </c>
      <c r="H528" s="1363"/>
      <c r="I528" s="12">
        <v>1</v>
      </c>
      <c r="J528" s="7"/>
      <c r="K528" s="7"/>
      <c r="L528" s="18"/>
    </row>
    <row r="529" spans="1:12" x14ac:dyDescent="0.25">
      <c r="A529" s="1364" t="s">
        <v>170</v>
      </c>
      <c r="B529" s="1347" t="s">
        <v>171</v>
      </c>
      <c r="C529" s="7"/>
      <c r="D529" s="1347" t="s">
        <v>172</v>
      </c>
      <c r="E529" s="7"/>
      <c r="F529" s="1347" t="s">
        <v>173</v>
      </c>
      <c r="G529" s="383" t="str">
        <f>IF('RAPPORTO ISPEZIONE'!C231&lt;&gt;"",'RAPPORTO ISPEZIONE'!C231,"")</f>
        <v/>
      </c>
      <c r="H529" s="1347" t="s">
        <v>175</v>
      </c>
      <c r="I529" s="9"/>
      <c r="J529" s="7"/>
      <c r="K529" s="7"/>
      <c r="L529" s="18"/>
    </row>
    <row r="530" spans="1:12" x14ac:dyDescent="0.25">
      <c r="A530" s="1365"/>
      <c r="B530" s="1348"/>
      <c r="C530" s="2"/>
      <c r="D530" s="1348"/>
      <c r="E530" s="2"/>
      <c r="F530" s="1348"/>
      <c r="G530" s="301"/>
      <c r="H530" s="1348"/>
      <c r="I530" s="12"/>
      <c r="J530" s="7"/>
      <c r="K530" s="7"/>
      <c r="L530" s="18"/>
    </row>
    <row r="531" spans="1:12" x14ac:dyDescent="0.25">
      <c r="A531" s="1366"/>
      <c r="B531" s="1349"/>
      <c r="C531" s="12"/>
      <c r="D531" s="1349"/>
      <c r="E531" s="12"/>
      <c r="F531" s="1349"/>
      <c r="G531" s="12" t="str">
        <f>IF(G529="",IF(G530="","",G530),G529)</f>
        <v/>
      </c>
      <c r="H531" s="1349"/>
      <c r="I531" s="12" t="s">
        <v>185</v>
      </c>
      <c r="J531" s="7"/>
      <c r="K531" s="7"/>
      <c r="L531" s="18"/>
    </row>
    <row r="532" spans="1:12" ht="18" x14ac:dyDescent="0.35">
      <c r="A532" s="1367" t="s">
        <v>8</v>
      </c>
      <c r="B532" s="347" t="s">
        <v>345</v>
      </c>
      <c r="C532" s="435"/>
      <c r="D532" s="436"/>
      <c r="E532" s="2" t="str">
        <f>IF(OR($H$189="A",$H$189="B",$H$189="C"),IF(OR($H$180="X",$H$183="X"),IF(C537="X",IF($H$146="X",(IF($H$161="X",(IF(AND(C534&lt;$H$194,C534&gt;=$H$193),"SI","NO")),(IF($H$158="X",IF(AND((C534*$O$152/$O$149)&lt;$H$194,(C534*$O$152/$O$149)&gt;=$H$193),"SI","NO"),"ERRORE")))),IF($H$143="X",IF($H$158="X",(IF(AND(C534&lt;$H$194,C534&gt;=$H$193),"SI","NO")),"ERRORE"),"ERRORE")),"NON SERVE"),IF($H$186="X",IF($H$146="X",(IF($H$161="X",(IF(AND(MAX(C531,E531,G531,)&lt;$H$194,MAX(C531,E531,G531)&gt;=$H$193),"SI","NO")),(IF($H$158="X",IF(AND((MAX(C531,E531,G531)*$O$152/$O$149)&lt;$H$194,(MAX(C531,E531,G531)*$O$152/$O$149)&gt;=$H$193),"SI","NO"),"ERRORE")))),IF($H$143="X",IF($H$158="X",(IF(AND(MAX(C531,E531,G531)&lt;$H$194,MAX(C531,E531,G531)&gt;=$H$193),"SI","NO")),"ERRORE"),"ERRORE")))),"NON SERVE")</f>
        <v>NON SERVE</v>
      </c>
      <c r="F532" s="347" t="s">
        <v>322</v>
      </c>
      <c r="G532" s="4"/>
      <c r="H532" s="4"/>
      <c r="I532" s="2" t="str">
        <f>IF($H$189="0,2S",IF(OR($H$180="X",$H$183="X"),IF(C537="X",IF($H$146="X",(IF($H$161="X",(IF(AND(C534&lt;0.1*$H$192,C534&gt;=$H$193),"SI","NO")),(IF($H$158="X",IF(AND((C534*$O$152/$O$149)&lt;0.1*$H$192,(C534*$O$152/$O$149)&gt;=$H$193),"SI","NO"),"ERRORE")))),IF($H$143="X",IF($H$158="X",(IF(AND(C534&lt;0.1*$H$192,C534&gt;=$H$193),"SI","NO")),"ERRORE"),"ERRORE")),"NON SERVE"),IF($H$186="X",IF($H$146="X",(IF($H$161="X",(IF(AND(MAX(C531,E531,G531,)&lt;0.1*$H$192,MAX(C531,E531,G531)&gt;=$H$193),"SI","NO")),(IF($H$158="X",IF(AND((MAX(C531,E531,G531)*$O$152/$O$149)&lt;0.1*$H$192,(MAX(C531,E531,G531)*$O$152/$O$149)&gt;=$H$193),"SI","NO"),"ERRORE")))),IF($H$143="X",IF($H$158="X",(IF(AND(MAX(C531,E531,G531)&lt;0.1*$H$192,MAX(C531,E531,G531)&gt;=$H$193),"SI","NO")),"ERRORE"),"ERRORE")))),"NON SERVE")</f>
        <v>NON SERVE</v>
      </c>
      <c r="J532" s="7"/>
      <c r="K532" s="7"/>
      <c r="L532" s="18"/>
    </row>
    <row r="533" spans="1:12" x14ac:dyDescent="0.25">
      <c r="A533" s="1367"/>
      <c r="B533" s="9" t="s">
        <v>188</v>
      </c>
      <c r="C533" s="9">
        <f>ROUND(AVERAGE(C528,E528,G528),$H$163)</f>
        <v>57.7</v>
      </c>
      <c r="D533" s="9"/>
      <c r="E533" s="9"/>
      <c r="F533" s="351" t="s">
        <v>550</v>
      </c>
      <c r="G533" s="12" t="str">
        <f>G518</f>
        <v>A+</v>
      </c>
      <c r="H533" s="124" t="s">
        <v>238</v>
      </c>
      <c r="I533" s="12" t="str">
        <f>I518</f>
        <v>1.8.0</v>
      </c>
      <c r="J533" s="7"/>
      <c r="K533" s="7"/>
      <c r="L533" s="18"/>
    </row>
    <row r="534" spans="1:12" x14ac:dyDescent="0.25">
      <c r="A534" s="1367"/>
      <c r="B534" s="9" t="s">
        <v>189</v>
      </c>
      <c r="C534" s="440" t="e">
        <f>ROUND(AVERAGE(C531,E531,G531),$H$162)</f>
        <v>#DIV/0!</v>
      </c>
      <c r="D534" s="1363" t="s">
        <v>297</v>
      </c>
      <c r="E534" s="9"/>
      <c r="F534" s="7"/>
      <c r="G534" s="7"/>
      <c r="H534" s="9" t="s">
        <v>177</v>
      </c>
      <c r="I534" s="416" t="str">
        <f>IF('RAPPORTO ISPEZIONE'!F231&lt;&gt;"",'RAPPORTO ISPEZIONE'!F231,"")</f>
        <v/>
      </c>
      <c r="J534" s="302"/>
      <c r="K534" s="417" t="str">
        <f>IF(AND(I534="",J534=""),"",IF(I534="",J534,I534))</f>
        <v/>
      </c>
      <c r="L534" s="33" t="s">
        <v>191</v>
      </c>
    </row>
    <row r="535" spans="1:12" x14ac:dyDescent="0.25">
      <c r="A535" s="1367"/>
      <c r="B535" s="6" t="s">
        <v>332</v>
      </c>
      <c r="C535" s="441" t="e">
        <f>IF($O$141="X",IF($H$161="X",IF(C537="X",C534/$O$152,IF(E537="X",C531/$O$152,IF(G537="X",E531/$O$152,IF(I537="X",G531/$O$152,"ERRORE")))),IF($H$158="X",IF(C537="X",C534/$O$149,IF(E537="X",C531/$O$149,IF(G537="X",E531/$O$149,IF(I537="X",G531/$O$149,"ERRORE")))))),"NON SERVE")</f>
        <v>#VALUE!</v>
      </c>
      <c r="D535" s="1363"/>
      <c r="E535" s="9"/>
      <c r="F535" s="7"/>
      <c r="G535" s="7"/>
      <c r="H535" s="9" t="s">
        <v>178</v>
      </c>
      <c r="I535" s="416" t="str">
        <f>IF('RAPPORTO ISPEZIONE'!G231&lt;&gt;"",'RAPPORTO ISPEZIONE'!G231,"")</f>
        <v/>
      </c>
      <c r="J535" s="302"/>
      <c r="K535" s="417" t="str">
        <f>IF(AND(I535="",J535=""),"",IF(I535="",J535,I535))</f>
        <v/>
      </c>
      <c r="L535" s="420" t="e">
        <f>ROUND(AVERAGE(K534,K535,K536),$H$164+2)</f>
        <v>#DIV/0!</v>
      </c>
    </row>
    <row r="536" spans="1:12" x14ac:dyDescent="0.25">
      <c r="A536" s="1367"/>
      <c r="B536" s="27" t="s">
        <v>333</v>
      </c>
      <c r="C536" s="442">
        <f>IF($O$159="X",IF($H$161="X",IF($O$162="X",IF(E536="F-N",C533/$O$171,C533/($O$171*SQRT(3))),IF($O$161="X",IF(E536="F-F",C533/$O$171,"ERRORE"),IF($O$160="X",C533/$O$171))),IF($O$159="X",IF($H$158="X",IF($O$162="X",IF(E536="F-N",C533/$O$167,C533/($O$167*SQRT(3))),IF($O$161="X",IF(E536="F-F",C533/$O$167,"ERRORE"),IF($O$160="X",C533/$O$167)))))))</f>
        <v>0.57700000000000007</v>
      </c>
      <c r="D536" s="1363"/>
      <c r="E536" s="353" t="str">
        <f>E521</f>
        <v>F-N</v>
      </c>
      <c r="F536" s="7"/>
      <c r="G536" s="7"/>
      <c r="H536" s="9" t="s">
        <v>179</v>
      </c>
      <c r="I536" s="416" t="str">
        <f>IF('RAPPORTO ISPEZIONE'!H231&lt;&gt;"",'RAPPORTO ISPEZIONE'!H231,"")</f>
        <v/>
      </c>
      <c r="J536" s="302"/>
      <c r="K536" s="417" t="str">
        <f>IF(AND(I536="",J536=""),"",IF(I536="",J536,I536))</f>
        <v/>
      </c>
      <c r="L536" s="33"/>
    </row>
    <row r="537" spans="1:12" x14ac:dyDescent="0.25">
      <c r="A537" s="422" t="s">
        <v>286</v>
      </c>
      <c r="B537" s="9" t="s">
        <v>282</v>
      </c>
      <c r="C537" s="12" t="str">
        <f>IF(OR($H$180="X",$H$183="X"),"",IF($H$186="X",""))</f>
        <v/>
      </c>
      <c r="D537" s="9" t="s">
        <v>283</v>
      </c>
      <c r="E537" s="12" t="str">
        <f>IF(OR($H$180="X",$H$183="X"),"",IF($H$186="X",""))</f>
        <v/>
      </c>
      <c r="F537" s="26" t="s">
        <v>284</v>
      </c>
      <c r="G537" s="12" t="str">
        <f>IF(OR($H$180="X",$H$183="X"),"",IF($H$186="X",""))</f>
        <v/>
      </c>
      <c r="H537" s="28" t="s">
        <v>285</v>
      </c>
      <c r="I537" s="12" t="str">
        <f>IF(OR($H$180="X",$H$183="X"),"X",IF($H$186="X",""))</f>
        <v>X</v>
      </c>
      <c r="J537" s="7"/>
      <c r="K537" s="7"/>
      <c r="L537" s="423" t="str">
        <f>IF(B525="X",IF((IF(C537="X",1,0)+IF(E537="X",1,0)+IF(G537="X",1,0)+IF(I537="X",1,0))&lt;&gt;1,"ERRORE",""),"")</f>
        <v/>
      </c>
    </row>
    <row r="538" spans="1:12" ht="15.75" thickBot="1" x14ac:dyDescent="0.3">
      <c r="A538" s="430"/>
      <c r="B538" s="431"/>
      <c r="C538" s="431"/>
      <c r="D538" s="431"/>
      <c r="E538" s="431"/>
      <c r="F538" s="431"/>
      <c r="G538" s="431"/>
      <c r="H538" s="431"/>
      <c r="I538" s="431"/>
      <c r="J538" s="431"/>
      <c r="K538" s="431"/>
      <c r="L538" s="432"/>
    </row>
    <row r="539" spans="1:12" x14ac:dyDescent="0.25">
      <c r="A539" s="7"/>
      <c r="B539" s="7"/>
      <c r="C539" s="7"/>
      <c r="D539" s="7"/>
      <c r="E539" s="7"/>
      <c r="F539" s="7"/>
      <c r="G539" s="7"/>
      <c r="H539" s="7"/>
      <c r="I539" s="7"/>
      <c r="J539" s="7"/>
    </row>
    <row r="540" spans="1:12" ht="15.75" thickBot="1" x14ac:dyDescent="0.3">
      <c r="A540" s="7"/>
      <c r="B540" s="7"/>
      <c r="C540" s="7"/>
      <c r="D540" s="7"/>
      <c r="E540" s="7"/>
      <c r="F540" s="7"/>
      <c r="G540" s="7"/>
      <c r="H540" s="7"/>
      <c r="I540" s="7"/>
      <c r="J540" s="7"/>
    </row>
    <row r="541" spans="1:12" ht="21" x14ac:dyDescent="0.35">
      <c r="A541" s="404" t="s">
        <v>555</v>
      </c>
      <c r="B541" s="405"/>
      <c r="C541" s="405"/>
      <c r="D541" s="405"/>
      <c r="E541" s="405"/>
      <c r="F541" s="405"/>
      <c r="G541" s="405"/>
      <c r="H541" s="405"/>
      <c r="I541" s="405"/>
      <c r="J541" s="405"/>
      <c r="K541" s="405"/>
      <c r="L541" s="407"/>
    </row>
    <row r="542" spans="1:12" ht="21" x14ac:dyDescent="0.35">
      <c r="A542" s="409"/>
      <c r="B542" s="7"/>
      <c r="C542" s="7"/>
      <c r="D542" s="7"/>
      <c r="E542" s="7"/>
      <c r="F542" s="7"/>
      <c r="G542" s="7"/>
      <c r="H542" s="7"/>
      <c r="I542" s="7"/>
      <c r="J542" s="7"/>
      <c r="K542" s="7"/>
      <c r="L542" s="18"/>
    </row>
    <row r="543" spans="1:12" x14ac:dyDescent="0.25">
      <c r="A543" s="411" t="s">
        <v>556</v>
      </c>
      <c r="B543" s="289" t="s">
        <v>1230</v>
      </c>
      <c r="C543" s="434" t="s">
        <v>728</v>
      </c>
      <c r="D543" s="7"/>
      <c r="E543" s="7"/>
      <c r="F543" s="7"/>
      <c r="G543" s="7"/>
      <c r="H543" s="7"/>
      <c r="I543" s="7"/>
      <c r="J543" s="7"/>
      <c r="K543" s="7"/>
      <c r="L543" s="18"/>
    </row>
    <row r="544" spans="1:12" x14ac:dyDescent="0.25">
      <c r="A544" s="1364" t="s">
        <v>166</v>
      </c>
      <c r="B544" s="1347" t="s">
        <v>167</v>
      </c>
      <c r="C544" s="383">
        <f>IF('RAPPORTO ISPEZIONE'!D211&lt;&gt;"",'RAPPORTO ISPEZIONE'!D211,"")</f>
        <v>57.7</v>
      </c>
      <c r="D544" s="1347" t="s">
        <v>168</v>
      </c>
      <c r="E544" s="12">
        <f t="shared" ref="E544:E549" si="39">C544</f>
        <v>57.7</v>
      </c>
      <c r="F544" s="1347" t="s">
        <v>169</v>
      </c>
      <c r="G544" s="12">
        <f t="shared" ref="G544:G549" si="40">E544</f>
        <v>57.7</v>
      </c>
      <c r="H544" s="1363" t="s">
        <v>174</v>
      </c>
      <c r="I544" s="9"/>
      <c r="J544" s="7"/>
      <c r="K544" s="7"/>
      <c r="L544" s="18"/>
    </row>
    <row r="545" spans="1:12" x14ac:dyDescent="0.25">
      <c r="A545" s="1365"/>
      <c r="B545" s="1348"/>
      <c r="C545" s="301"/>
      <c r="D545" s="1348"/>
      <c r="E545" s="12">
        <f t="shared" si="39"/>
        <v>0</v>
      </c>
      <c r="F545" s="1348"/>
      <c r="G545" s="12">
        <f t="shared" si="40"/>
        <v>0</v>
      </c>
      <c r="H545" s="1363"/>
      <c r="I545" s="12"/>
      <c r="J545" s="7"/>
      <c r="K545" s="7"/>
      <c r="L545" s="18"/>
    </row>
    <row r="546" spans="1:12" x14ac:dyDescent="0.25">
      <c r="A546" s="1366"/>
      <c r="B546" s="1349"/>
      <c r="C546" s="12">
        <f>IF(C544="",IF(C545="","",C545),C544)</f>
        <v>57.7</v>
      </c>
      <c r="D546" s="1349"/>
      <c r="E546" s="12">
        <f t="shared" si="39"/>
        <v>57.7</v>
      </c>
      <c r="F546" s="1349"/>
      <c r="G546" s="12">
        <f t="shared" si="40"/>
        <v>57.7</v>
      </c>
      <c r="H546" s="1363"/>
      <c r="I546" s="12">
        <v>1</v>
      </c>
      <c r="J546" s="7"/>
      <c r="K546" s="7"/>
      <c r="L546" s="18"/>
    </row>
    <row r="547" spans="1:12" x14ac:dyDescent="0.25">
      <c r="A547" s="1364" t="s">
        <v>170</v>
      </c>
      <c r="B547" s="1347" t="s">
        <v>171</v>
      </c>
      <c r="C547" s="383">
        <f>IF('RAPPORTO ISPEZIONE'!C221&lt;&gt;"",'RAPPORTO ISPEZIONE'!C221,"")</f>
        <v>0.25</v>
      </c>
      <c r="D547" s="1347" t="s">
        <v>172</v>
      </c>
      <c r="E547" s="353">
        <f t="shared" si="39"/>
        <v>0.25</v>
      </c>
      <c r="F547" s="1363" t="s">
        <v>173</v>
      </c>
      <c r="G547" s="353">
        <f t="shared" si="40"/>
        <v>0.25</v>
      </c>
      <c r="H547" s="1347" t="s">
        <v>175</v>
      </c>
      <c r="I547" s="9"/>
      <c r="J547" s="7"/>
      <c r="K547" s="7"/>
      <c r="L547" s="18"/>
    </row>
    <row r="548" spans="1:12" x14ac:dyDescent="0.25">
      <c r="A548" s="1365"/>
      <c r="B548" s="1348"/>
      <c r="C548" s="301"/>
      <c r="D548" s="1348"/>
      <c r="E548" s="353">
        <f t="shared" si="39"/>
        <v>0</v>
      </c>
      <c r="F548" s="1363"/>
      <c r="G548" s="353">
        <f t="shared" si="40"/>
        <v>0</v>
      </c>
      <c r="H548" s="1348"/>
      <c r="I548" s="12"/>
      <c r="J548" s="7"/>
      <c r="K548" s="7"/>
      <c r="L548" s="18"/>
    </row>
    <row r="549" spans="1:12" x14ac:dyDescent="0.25">
      <c r="A549" s="1366"/>
      <c r="B549" s="1349"/>
      <c r="C549" s="12">
        <f>IF(C547="",IF(C548="","",C548),C547)</f>
        <v>0.25</v>
      </c>
      <c r="D549" s="1349"/>
      <c r="E549" s="353">
        <f t="shared" si="39"/>
        <v>0.25</v>
      </c>
      <c r="F549" s="1363"/>
      <c r="G549" s="353">
        <f t="shared" si="40"/>
        <v>0.25</v>
      </c>
      <c r="H549" s="1349"/>
      <c r="I549" s="12" t="s">
        <v>185</v>
      </c>
      <c r="J549" s="7"/>
      <c r="K549" s="7"/>
      <c r="L549" s="18"/>
    </row>
    <row r="550" spans="1:12" ht="18" x14ac:dyDescent="0.35">
      <c r="A550" s="1367" t="s">
        <v>8</v>
      </c>
      <c r="B550" s="347" t="s">
        <v>345</v>
      </c>
      <c r="C550" s="435"/>
      <c r="D550" s="436"/>
      <c r="E550" s="2" t="str">
        <f>IF(OR($H$189="A",$H$189="B",$H$189="C"),IF(OR($H$180="X",$H$183="X"),IF(C555="X",IF($H$146="X",(IF($H$161="X",(IF(AND(C552&lt;$H$194,C552&gt;=$H$193),"SI","NO")),(IF($H$158="X",IF(AND((C552*$O$152/$O$149)&lt;$H$194,(C552*$O$152/$O$149)&gt;=$H$193),"SI","NO"),"ERRORE")))),IF($H$143="X",IF($H$158="X",(IF(AND(C552&lt;$H$194,C552&gt;=$H$193),"SI","NO")),"ERRORE"),"ERRORE")),"NON SERVE"),IF($H$186="X",IF($H$146="X",(IF($H$161="X",(IF(AND(MAX(C549,E549,G549,)&lt;$H$194,MAX(C549,E549,G549)&gt;=$H$193),"SI","NO")),(IF($H$158="X",IF(AND((MAX(C549,E549,G549)*$O$152/$O$149)&lt;$H$194,(MAX(C549,E549,G549)*$O$152/$O$149)&gt;=$H$193),"SI","NO"),"ERRORE")))),IF($H$143="X",IF($H$158="X",(IF(AND(MAX(C549,E549,G549)&lt;$H$194,MAX(C549,E549,G549)&gt;=$H$193),"SI","NO")),"ERRORE"),"ERRORE")))),"NON SERVE")</f>
        <v>NO</v>
      </c>
      <c r="F550" s="347" t="s">
        <v>322</v>
      </c>
      <c r="G550" s="4"/>
      <c r="H550" s="4"/>
      <c r="I550" s="2" t="str">
        <f>IF($H$189="0,2S",IF(OR($H$180="X",$H$183="X"),IF(C555="X",IF($H$146="X",(IF($H$161="X",(IF(AND(C552&lt;0.1*$H$192,C552&gt;=$H$193),"SI","NO")),(IF($H$158="X",IF(AND((C552*$O$152/$O$149)&lt;0.1*$H$192,(C552*$O$152/$O$149)&gt;=$H$193),"SI","NO"),"ERRORE")))),IF($H$143="X",IF($H$158="X",(IF(AND(C552&lt;0.1*$H$192,C552&gt;=$H$193),"SI","NO")),"ERRORE"),"ERRORE")),"NON SERVE"),IF($H$186="X",IF($H$146="X",(IF($H$161="X",(IF(AND(MAX(C549,E549,G549,)&lt;0.1*$H$192,MAX(C549,E549,G549)&gt;=$H$193),"SI","NO")),(IF($H$158="X",IF(AND((MAX(C549,E549,G549)*$O$152/$O$149)&lt;0.1*$H$192,(MAX(C549,E549,G549)*$O$152/$O$149)&gt;=$H$193),"SI","NO"),"ERRORE")))),IF($H$143="X",IF($H$158="X",(IF(AND(MAX(C549,E549,G549)&lt;0.1*$H$192,MAX(C549,E549,G549)&gt;=$H$193),"SI","NO")),"ERRORE"),"ERRORE")))),"NON SERVE")</f>
        <v>NON SERVE</v>
      </c>
      <c r="J550" s="7"/>
      <c r="K550" s="7"/>
      <c r="L550" s="18"/>
    </row>
    <row r="551" spans="1:12" x14ac:dyDescent="0.25">
      <c r="A551" s="1367"/>
      <c r="B551" s="9" t="s">
        <v>188</v>
      </c>
      <c r="C551" s="9">
        <f>ROUND(AVERAGE(C546,E546,G546),$H$163)</f>
        <v>57.7</v>
      </c>
      <c r="D551" s="9"/>
      <c r="E551" s="9"/>
      <c r="F551" s="351" t="s">
        <v>550</v>
      </c>
      <c r="G551" s="289" t="s">
        <v>470</v>
      </c>
      <c r="H551" s="124" t="s">
        <v>238</v>
      </c>
      <c r="I551" s="356" t="s">
        <v>521</v>
      </c>
      <c r="J551" s="7"/>
      <c r="K551" s="7"/>
      <c r="L551" s="18"/>
    </row>
    <row r="552" spans="1:12" x14ac:dyDescent="0.25">
      <c r="A552" s="1367"/>
      <c r="B552" s="9" t="s">
        <v>189</v>
      </c>
      <c r="C552" s="440">
        <f>ROUND(AVERAGE(C549,E549,G549),$H$162)</f>
        <v>0.25</v>
      </c>
      <c r="D552" s="1363" t="s">
        <v>297</v>
      </c>
      <c r="E552" s="9"/>
      <c r="F552" s="7"/>
      <c r="G552" s="7"/>
      <c r="H552" s="9" t="s">
        <v>177</v>
      </c>
      <c r="I552" s="416">
        <f>IF('RAPPORTO ISPEZIONE'!J221&lt;&gt;"",'RAPPORTO ISPEZIONE'!J221,"")</f>
        <v>1E-3</v>
      </c>
      <c r="J552" s="302"/>
      <c r="K552" s="417">
        <f>IF(AND(I552="",J552=""),"",IF(I552="",J552,I552))</f>
        <v>1E-3</v>
      </c>
      <c r="L552" s="33" t="s">
        <v>191</v>
      </c>
    </row>
    <row r="553" spans="1:12" x14ac:dyDescent="0.25">
      <c r="A553" s="1367"/>
      <c r="B553" s="6" t="s">
        <v>332</v>
      </c>
      <c r="C553" s="441">
        <f>IF($O$141="X",IF($H$161="X",IF(C555="X",C552/$O$152,IF(E555="X",C549/$O$152,IF(G555="X",E549/$O$152,IF(I555="X",G549/$O$152,"ERRORE")))),IF($H$158="X",IF(C555="X",C552/$O$149,IF(E555="X",C549/$O$149,IF(G555="X",E549/$O$149,IF(I555="X",G549/$O$149,"ERRORE")))))),"NON SERVE")</f>
        <v>0.05</v>
      </c>
      <c r="D553" s="1363"/>
      <c r="E553" s="9"/>
      <c r="F553" s="7"/>
      <c r="G553" s="7"/>
      <c r="H553" s="9" t="s">
        <v>178</v>
      </c>
      <c r="I553" s="416">
        <f>IF('RAPPORTO ISPEZIONE'!K221&lt;&gt;"",'RAPPORTO ISPEZIONE'!K221,"")</f>
        <v>1E-3</v>
      </c>
      <c r="J553" s="302"/>
      <c r="K553" s="417">
        <f>IF(AND(I553="",J553=""),"",IF(I553="",J553,I553))</f>
        <v>1E-3</v>
      </c>
      <c r="L553" s="420">
        <f>ROUND(AVERAGE(K552,K553,K554),$H$164+2)</f>
        <v>1E-3</v>
      </c>
    </row>
    <row r="554" spans="1:12" x14ac:dyDescent="0.25">
      <c r="A554" s="1367"/>
      <c r="B554" s="27" t="s">
        <v>333</v>
      </c>
      <c r="C554" s="442">
        <f>IF($O$159="X",IF($H$161="X",IF($O$162="X",IF(E554="F-N",C551/$O$171,C551/($O$171*SQRT(3))),IF($O$161="X",IF(E554="F-F",C551/$O$171,"ERRORE"),IF($O$160="X",C551/$O$171))),IF($O$159="X",IF($H$158="X",IF($O$162="X",IF(E554="F-N",C551/$O$167,C551/($O$167*SQRT(3))),IF($O$161="X",IF(E554="F-F",C551/$O$167,"ERRORE"),IF($O$160="X",C551/$O$167)))))))</f>
        <v>0.57700000000000007</v>
      </c>
      <c r="D554" s="1363"/>
      <c r="E554" s="353" t="str">
        <f>E536</f>
        <v>F-N</v>
      </c>
      <c r="F554" s="7"/>
      <c r="G554" s="7"/>
      <c r="H554" s="9" t="s">
        <v>179</v>
      </c>
      <c r="I554" s="416">
        <f>IF('RAPPORTO ISPEZIONE'!L221&lt;&gt;"",'RAPPORTO ISPEZIONE'!L221,"")</f>
        <v>1E-3</v>
      </c>
      <c r="J554" s="302"/>
      <c r="K554" s="417">
        <f>IF(AND(I554="",J554=""),"",IF(I554="",J554,I554))</f>
        <v>1E-3</v>
      </c>
      <c r="L554" s="33"/>
    </row>
    <row r="555" spans="1:12" x14ac:dyDescent="0.25">
      <c r="A555" s="422" t="s">
        <v>286</v>
      </c>
      <c r="B555" s="9" t="s">
        <v>282</v>
      </c>
      <c r="C555" s="12" t="str">
        <f>IF(OR($H$180="X",$H$183="X"),"X",IF($H$186="X",""))</f>
        <v>X</v>
      </c>
      <c r="D555" s="9" t="s">
        <v>283</v>
      </c>
      <c r="E555" s="12" t="str">
        <f>IF(OR($H$180="X",$H$183="X"),"",IF($H$186="X","X"))</f>
        <v/>
      </c>
      <c r="F555" s="26" t="s">
        <v>284</v>
      </c>
      <c r="G555" s="12" t="str">
        <f>IF(OR($H$180="X",$H$183="X"),"",IF($H$186="X",""))</f>
        <v/>
      </c>
      <c r="H555" s="28" t="s">
        <v>285</v>
      </c>
      <c r="I555" s="12" t="str">
        <f>IF(OR($H$180="X",$H$183="X"),"",IF($H$186="X",""))</f>
        <v/>
      </c>
      <c r="J555" s="7"/>
      <c r="K555" s="7"/>
      <c r="L555" s="423" t="str">
        <f>IF(B543="X",IF((IF(C555="X",1,0)+IF(E555="X",1,0)+IF(G555="X",1,0)+IF(I555="X",1,0))&lt;&gt;1,"ERRORE",""),"")</f>
        <v/>
      </c>
    </row>
    <row r="556" spans="1:12" x14ac:dyDescent="0.25">
      <c r="A556" s="424"/>
      <c r="B556" s="7"/>
      <c r="C556" s="7"/>
      <c r="D556" s="7"/>
      <c r="E556" s="7"/>
      <c r="F556" s="7"/>
      <c r="G556" s="7"/>
      <c r="H556" s="7"/>
      <c r="I556" s="7"/>
      <c r="J556" s="5"/>
      <c r="K556" s="7"/>
      <c r="L556" s="18"/>
    </row>
    <row r="557" spans="1:12" x14ac:dyDescent="0.25">
      <c r="A557" s="424"/>
      <c r="B557" s="7"/>
      <c r="C557" s="7"/>
      <c r="D557" s="7"/>
      <c r="E557" s="7"/>
      <c r="F557" s="7"/>
      <c r="G557" s="7"/>
      <c r="H557" s="7"/>
      <c r="I557" s="7"/>
      <c r="J557" s="7"/>
      <c r="K557" s="7"/>
      <c r="L557" s="18"/>
    </row>
    <row r="558" spans="1:12" x14ac:dyDescent="0.25">
      <c r="A558" s="411" t="s">
        <v>557</v>
      </c>
      <c r="B558" s="289" t="s">
        <v>1230</v>
      </c>
      <c r="C558" s="434" t="s">
        <v>727</v>
      </c>
      <c r="D558" s="7"/>
      <c r="E558" s="7"/>
      <c r="F558" s="7"/>
      <c r="G558" s="7"/>
      <c r="H558" s="7"/>
      <c r="I558" s="7"/>
      <c r="J558" s="7"/>
      <c r="K558" s="7"/>
      <c r="L558" s="18"/>
    </row>
    <row r="559" spans="1:12" x14ac:dyDescent="0.25">
      <c r="A559" s="1364" t="s">
        <v>166</v>
      </c>
      <c r="B559" s="1347" t="s">
        <v>167</v>
      </c>
      <c r="C559" s="9"/>
      <c r="D559" s="1347" t="s">
        <v>168</v>
      </c>
      <c r="E559" s="9"/>
      <c r="F559" s="1347" t="s">
        <v>169</v>
      </c>
      <c r="G559" s="9"/>
      <c r="H559" s="1363" t="s">
        <v>174</v>
      </c>
      <c r="I559" s="9"/>
      <c r="J559" s="7"/>
      <c r="K559" s="7"/>
      <c r="L559" s="18"/>
    </row>
    <row r="560" spans="1:12" x14ac:dyDescent="0.25">
      <c r="A560" s="1365"/>
      <c r="B560" s="1348"/>
      <c r="C560" s="439"/>
      <c r="D560" s="1348"/>
      <c r="E560" s="439"/>
      <c r="F560" s="1348"/>
      <c r="G560" s="439"/>
      <c r="H560" s="1363"/>
      <c r="I560" s="12"/>
      <c r="J560" s="7"/>
      <c r="K560" s="7"/>
      <c r="L560" s="18"/>
    </row>
    <row r="561" spans="1:12" x14ac:dyDescent="0.25">
      <c r="A561" s="1366"/>
      <c r="B561" s="1349"/>
      <c r="C561" s="439">
        <f>C546</f>
        <v>57.7</v>
      </c>
      <c r="D561" s="1349"/>
      <c r="E561" s="439">
        <f>E546</f>
        <v>57.7</v>
      </c>
      <c r="F561" s="1349"/>
      <c r="G561" s="439">
        <f>G546</f>
        <v>57.7</v>
      </c>
      <c r="H561" s="1363"/>
      <c r="I561" s="12">
        <v>0.5</v>
      </c>
      <c r="J561" s="7"/>
      <c r="K561" s="7"/>
      <c r="L561" s="18"/>
    </row>
    <row r="562" spans="1:12" x14ac:dyDescent="0.25">
      <c r="A562" s="1364" t="s">
        <v>170</v>
      </c>
      <c r="B562" s="1347" t="s">
        <v>171</v>
      </c>
      <c r="C562" s="7"/>
      <c r="D562" s="1347" t="s">
        <v>172</v>
      </c>
      <c r="E562" s="7"/>
      <c r="F562" s="1347" t="s">
        <v>173</v>
      </c>
      <c r="G562" s="7"/>
      <c r="H562" s="1347" t="s">
        <v>175</v>
      </c>
      <c r="I562" s="9"/>
      <c r="J562" s="7"/>
      <c r="K562" s="7"/>
      <c r="L562" s="18"/>
    </row>
    <row r="563" spans="1:12" x14ac:dyDescent="0.25">
      <c r="A563" s="1365"/>
      <c r="B563" s="1348"/>
      <c r="C563" s="2"/>
      <c r="D563" s="1348"/>
      <c r="E563" s="2"/>
      <c r="F563" s="1348"/>
      <c r="G563" s="2"/>
      <c r="H563" s="1348"/>
      <c r="I563" s="12"/>
      <c r="J563" s="7"/>
      <c r="K563" s="7"/>
      <c r="L563" s="18"/>
    </row>
    <row r="564" spans="1:12" x14ac:dyDescent="0.25">
      <c r="A564" s="1366"/>
      <c r="B564" s="1349"/>
      <c r="C564" s="2">
        <f>C549</f>
        <v>0.25</v>
      </c>
      <c r="D564" s="1349"/>
      <c r="E564" s="2">
        <f>C564</f>
        <v>0.25</v>
      </c>
      <c r="F564" s="1349"/>
      <c r="G564" s="2">
        <f>C564</f>
        <v>0.25</v>
      </c>
      <c r="H564" s="1349"/>
      <c r="I564" s="12" t="s">
        <v>185</v>
      </c>
      <c r="J564" s="7"/>
      <c r="K564" s="7"/>
      <c r="L564" s="18"/>
    </row>
    <row r="565" spans="1:12" ht="18" x14ac:dyDescent="0.35">
      <c r="A565" s="1367" t="s">
        <v>8</v>
      </c>
      <c r="B565" s="347" t="s">
        <v>345</v>
      </c>
      <c r="C565" s="435"/>
      <c r="D565" s="436"/>
      <c r="E565" s="2" t="str">
        <f>IF(OR($H$189="A",$H$189="B",$H$189="C"),IF(OR($H$180="X",$H$183="X"),IF(C570="X",IF($H$146="X",(IF($H$161="X",(IF(AND(C567&lt;$H$194,C567&gt;=$H$193),"SI","NO")),(IF($H$158="X",IF(AND((C567*$O$152/$O$149)&lt;$H$194,(C567*$O$152/$O$149)&gt;=$H$193),"SI","NO"),"ERRORE")))),IF($H$143="X",IF($H$158="X",(IF(AND(C567&lt;$H$194,C567&gt;=$H$193),"SI","NO")),"ERRORE"),"ERRORE")),"NON SERVE"),IF($H$186="X",IF($H$146="X",(IF($H$161="X",(IF(AND(MAX(C564,E564,G564,)&lt;$H$194,MAX(C564,E564,G564)&gt;=$H$193),"SI","NO")),(IF($H$158="X",IF(AND((MAX(C564,E564,G564)*$O$152/$O$149)&lt;$H$194,(MAX(C564,E564,G564)*$O$152/$O$149)&gt;=$H$193),"SI","NO"),"ERRORE")))),IF($H$143="X",IF($H$158="X",(IF(AND(MAX(C564,E564,G564)&lt;$H$194,MAX(C564,E564,G564)&gt;=$H$193),"SI","NO")),"ERRORE"),"ERRORE")))),"NON SERVE")</f>
        <v>NO</v>
      </c>
      <c r="F565" s="347" t="s">
        <v>322</v>
      </c>
      <c r="G565" s="4"/>
      <c r="H565" s="4"/>
      <c r="I565" s="2" t="str">
        <f>IF($H$189="0,2S",IF(OR($H$180="X",$H$183="X"),IF(C570="X",IF($H$146="X",(IF($H$161="X",(IF(AND(C567&lt;0.1*$H$192,C567&gt;=$H$193),"SI","NO")),(IF($H$158="X",IF(AND((C567*$O$152/$O$149)&lt;0.1*$H$192,(C567*$O$152/$O$149)&gt;=$H$193),"SI","NO"),"ERRORE")))),IF($H$143="X",IF($H$158="X",(IF(AND(C567&lt;0.1*$H$192,C567&gt;=$H$193),"SI","NO")),"ERRORE"),"ERRORE")),"NON SERVE"),IF($H$186="X",IF($H$146="X",(IF($H$161="X",(IF(AND(MAX(C564,E564,G564,)&lt;0.1*$H$192,MAX(C564,E564,G564)&gt;=$H$193),"SI","NO")),(IF($H$158="X",IF(AND((MAX(C564,E564,G564)*$O$152/$O$149)&lt;0.1*$H$192,(MAX(C564,E564,G564)*$O$152/$O$149)&gt;=$H$193),"SI","NO"),"ERRORE")))),IF($H$143="X",IF($H$158="X",(IF(AND(MAX(C564,E564,G564)&lt;0.1*$H$192,MAX(C564,E564,G564)&gt;=$H$193),"SI","NO")),"ERRORE"),"ERRORE")))),"NON SERVE")</f>
        <v>NON SERVE</v>
      </c>
      <c r="J565" s="7"/>
      <c r="K565" s="7"/>
      <c r="L565" s="18"/>
    </row>
    <row r="566" spans="1:12" x14ac:dyDescent="0.25">
      <c r="A566" s="1367"/>
      <c r="B566" s="9" t="s">
        <v>188</v>
      </c>
      <c r="C566" s="9">
        <f>ROUND(AVERAGE(C561,E561,G561),$H$163)</f>
        <v>57.7</v>
      </c>
      <c r="D566" s="9"/>
      <c r="E566" s="9"/>
      <c r="F566" s="351" t="s">
        <v>550</v>
      </c>
      <c r="G566" s="12" t="str">
        <f>G551</f>
        <v>A-</v>
      </c>
      <c r="H566" s="124" t="s">
        <v>238</v>
      </c>
      <c r="I566" s="12" t="str">
        <f>I551</f>
        <v>2.8.0</v>
      </c>
      <c r="J566" s="7"/>
      <c r="K566" s="7"/>
      <c r="L566" s="18"/>
    </row>
    <row r="567" spans="1:12" x14ac:dyDescent="0.25">
      <c r="A567" s="1367"/>
      <c r="B567" s="9" t="s">
        <v>189</v>
      </c>
      <c r="C567" s="440">
        <f>ROUND(AVERAGE(C564,E564,G564),$H$162)</f>
        <v>0.25</v>
      </c>
      <c r="D567" s="1363" t="s">
        <v>297</v>
      </c>
      <c r="E567" s="9"/>
      <c r="F567" s="7"/>
      <c r="G567" s="7"/>
      <c r="H567" s="9" t="s">
        <v>177</v>
      </c>
      <c r="I567" s="416">
        <f>IF('RAPPORTO ISPEZIONE'!J222&lt;&gt;"",'RAPPORTO ISPEZIONE'!J222,"")</f>
        <v>1.1000000000000001E-3</v>
      </c>
      <c r="J567" s="302"/>
      <c r="K567" s="417">
        <f>IF(AND(I567="",J567=""),"",IF(I567="",J567,I567))</f>
        <v>1.1000000000000001E-3</v>
      </c>
      <c r="L567" s="33" t="s">
        <v>191</v>
      </c>
    </row>
    <row r="568" spans="1:12" x14ac:dyDescent="0.25">
      <c r="A568" s="1367"/>
      <c r="B568" s="6" t="s">
        <v>332</v>
      </c>
      <c r="C568" s="441">
        <f>IF($O$141="X",IF($H$161="X",IF(C570="X",C567/$O$152,IF(E570="X",C564/$O$152,IF(G570="X",E564/$O$152,IF(I570="X",G564/$O$152,"ERRORE")))),IF($H$158="X",IF(C570="X",C567/$O$149,IF(E570="X",C564/$O$149,IF(G570="X",E564/$O$149,IF(I570="X",G564/$O$149,"ERRORE")))))),"NON SERVE")</f>
        <v>0.05</v>
      </c>
      <c r="D568" s="1363"/>
      <c r="E568" s="9"/>
      <c r="F568" s="7"/>
      <c r="G568" s="7"/>
      <c r="H568" s="9" t="s">
        <v>178</v>
      </c>
      <c r="I568" s="416">
        <f>IF('RAPPORTO ISPEZIONE'!K222&lt;&gt;"",'RAPPORTO ISPEZIONE'!K222,"")</f>
        <v>1.1000000000000001E-3</v>
      </c>
      <c r="J568" s="302"/>
      <c r="K568" s="417">
        <f>IF(AND(I568="",J568=""),"",IF(I568="",J568,I568))</f>
        <v>1.1000000000000001E-3</v>
      </c>
      <c r="L568" s="420">
        <f>ROUND(AVERAGE(K567,K568,K569),$H$164+2)</f>
        <v>1.1000000000000001E-3</v>
      </c>
    </row>
    <row r="569" spans="1:12" x14ac:dyDescent="0.25">
      <c r="A569" s="1367"/>
      <c r="B569" s="27" t="s">
        <v>333</v>
      </c>
      <c r="C569" s="442">
        <f>IF($O$159="X",IF($H$161="X",IF($O$162="X",IF(E569="F-N",C566/$O$171,C566/($O$171*SQRT(3))),IF($O$161="X",IF(E569="F-F",C566/$O$171,"ERRORE"),IF($O$160="X",C566/$O$171))),IF($O$159="X",IF($H$158="X",IF($O$162="X",IF(E569="F-N",C566/$O$167,C566/($O$167*SQRT(3))),IF($O$161="X",IF(E569="F-F",C566/$O$167,"ERRORE"),IF($O$160="X",C566/$O$167)))))))</f>
        <v>0.57700000000000007</v>
      </c>
      <c r="D569" s="1363"/>
      <c r="E569" s="353" t="str">
        <f>E554</f>
        <v>F-N</v>
      </c>
      <c r="F569" s="7"/>
      <c r="G569" s="7"/>
      <c r="H569" s="9" t="s">
        <v>179</v>
      </c>
      <c r="I569" s="416">
        <f>IF('RAPPORTO ISPEZIONE'!L222&lt;&gt;"",'RAPPORTO ISPEZIONE'!L222,"")</f>
        <v>1.1000000000000001E-3</v>
      </c>
      <c r="J569" s="302"/>
      <c r="K569" s="417">
        <f>IF(AND(I569="",J569=""),"",IF(I569="",J569,I569))</f>
        <v>1.1000000000000001E-3</v>
      </c>
      <c r="L569" s="33"/>
    </row>
    <row r="570" spans="1:12" x14ac:dyDescent="0.25">
      <c r="A570" s="422" t="s">
        <v>286</v>
      </c>
      <c r="B570" s="9" t="s">
        <v>282</v>
      </c>
      <c r="C570" s="12" t="str">
        <f>IF(OR($H$180="X",$H$183="X"),"X",IF($H$186="X",""))</f>
        <v>X</v>
      </c>
      <c r="D570" s="9" t="s">
        <v>283</v>
      </c>
      <c r="E570" s="12" t="str">
        <f>IF(OR($H$180="X",$H$183="X"),"",IF($H$186="X","X"))</f>
        <v/>
      </c>
      <c r="F570" s="26" t="s">
        <v>284</v>
      </c>
      <c r="G570" s="12" t="str">
        <f>IF(OR($H$180="X",$H$183="X"),"",IF($H$186="X",""))</f>
        <v/>
      </c>
      <c r="H570" s="28" t="s">
        <v>285</v>
      </c>
      <c r="I570" s="12" t="str">
        <f>IF(OR($H$180="X",$H$183="X"),"",IF($H$186="X",""))</f>
        <v/>
      </c>
      <c r="J570" s="7"/>
      <c r="K570" s="7"/>
      <c r="L570" s="423" t="str">
        <f>IF(B558="X",IF((IF(C570="X",1,0)+IF(E570="X",1,0)+IF(G570="X",1,0)+IF(I570="X",1,0))&lt;&gt;1,"ERRORE",""),"")</f>
        <v/>
      </c>
    </row>
    <row r="571" spans="1:12" x14ac:dyDescent="0.25">
      <c r="A571" s="424"/>
      <c r="B571" s="7"/>
      <c r="C571" s="7"/>
      <c r="D571" s="7"/>
      <c r="E571" s="7"/>
      <c r="F571" s="7"/>
      <c r="G571" s="7"/>
      <c r="H571" s="7"/>
      <c r="I571" s="7"/>
      <c r="J571" s="7"/>
      <c r="K571" s="7"/>
      <c r="L571" s="18"/>
    </row>
    <row r="572" spans="1:12" x14ac:dyDescent="0.25">
      <c r="A572" s="424"/>
      <c r="B572" s="7"/>
      <c r="C572" s="7"/>
      <c r="D572" s="443"/>
      <c r="E572" s="7"/>
      <c r="F572" s="7"/>
      <c r="G572" s="444"/>
      <c r="H572" s="7"/>
      <c r="I572" s="7"/>
      <c r="J572" s="7"/>
      <c r="K572" s="7"/>
      <c r="L572" s="18"/>
    </row>
    <row r="573" spans="1:12" x14ac:dyDescent="0.25">
      <c r="A573" s="411" t="s">
        <v>558</v>
      </c>
      <c r="B573" s="289" t="s">
        <v>1230</v>
      </c>
      <c r="C573" s="434" t="s">
        <v>726</v>
      </c>
      <c r="D573" s="7"/>
      <c r="E573" s="7"/>
      <c r="F573" s="7"/>
      <c r="G573" s="7"/>
      <c r="H573" s="7"/>
      <c r="I573" s="7"/>
      <c r="J573" s="7"/>
      <c r="K573" s="7"/>
      <c r="L573" s="18"/>
    </row>
    <row r="574" spans="1:12" x14ac:dyDescent="0.25">
      <c r="A574" s="1364" t="s">
        <v>166</v>
      </c>
      <c r="B574" s="1347" t="s">
        <v>167</v>
      </c>
      <c r="C574" s="2"/>
      <c r="D574" s="1363" t="s">
        <v>168</v>
      </c>
      <c r="E574" s="2"/>
      <c r="F574" s="1363" t="s">
        <v>169</v>
      </c>
      <c r="G574" s="2"/>
      <c r="H574" s="1363" t="s">
        <v>174</v>
      </c>
      <c r="I574" s="9"/>
      <c r="J574" s="7"/>
      <c r="K574" s="7"/>
      <c r="L574" s="18"/>
    </row>
    <row r="575" spans="1:12" x14ac:dyDescent="0.25">
      <c r="A575" s="1365"/>
      <c r="B575" s="1348"/>
      <c r="C575" s="439"/>
      <c r="D575" s="1363"/>
      <c r="E575" s="439"/>
      <c r="F575" s="1363"/>
      <c r="G575" s="439"/>
      <c r="H575" s="1363"/>
      <c r="I575" s="12"/>
      <c r="J575" s="7"/>
      <c r="K575" s="7"/>
      <c r="L575" s="18"/>
    </row>
    <row r="576" spans="1:12" x14ac:dyDescent="0.25">
      <c r="A576" s="1366"/>
      <c r="B576" s="1349"/>
      <c r="C576" s="439">
        <f>C561</f>
        <v>57.7</v>
      </c>
      <c r="D576" s="1363"/>
      <c r="E576" s="439">
        <f>E561</f>
        <v>57.7</v>
      </c>
      <c r="F576" s="1363"/>
      <c r="G576" s="439">
        <f>G561</f>
        <v>57.7</v>
      </c>
      <c r="H576" s="1363"/>
      <c r="I576" s="12">
        <v>1</v>
      </c>
      <c r="J576" s="7"/>
      <c r="K576" s="7"/>
      <c r="L576" s="18"/>
    </row>
    <row r="577" spans="1:12" x14ac:dyDescent="0.25">
      <c r="A577" s="1364" t="s">
        <v>170</v>
      </c>
      <c r="B577" s="1347" t="s">
        <v>171</v>
      </c>
      <c r="C577" s="383">
        <f>IF('RAPPORTO ISPEZIONE'!C223&lt;&gt;"",'RAPPORTO ISPEZIONE'!C223,"")</f>
        <v>1</v>
      </c>
      <c r="D577" s="1363" t="s">
        <v>172</v>
      </c>
      <c r="E577" s="353">
        <f>C577</f>
        <v>1</v>
      </c>
      <c r="F577" s="1363" t="s">
        <v>173</v>
      </c>
      <c r="G577" s="353">
        <f>E577</f>
        <v>1</v>
      </c>
      <c r="H577" s="1347" t="s">
        <v>175</v>
      </c>
      <c r="I577" s="9"/>
      <c r="J577" s="7"/>
      <c r="K577" s="7"/>
      <c r="L577" s="18"/>
    </row>
    <row r="578" spans="1:12" x14ac:dyDescent="0.25">
      <c r="A578" s="1365"/>
      <c r="B578" s="1348"/>
      <c r="C578" s="301"/>
      <c r="D578" s="1363"/>
      <c r="E578" s="353">
        <f>C578</f>
        <v>0</v>
      </c>
      <c r="F578" s="1363"/>
      <c r="G578" s="353">
        <f>E578</f>
        <v>0</v>
      </c>
      <c r="H578" s="1348"/>
      <c r="I578" s="12"/>
      <c r="J578" s="7"/>
      <c r="K578" s="7"/>
      <c r="L578" s="18"/>
    </row>
    <row r="579" spans="1:12" x14ac:dyDescent="0.25">
      <c r="A579" s="1366"/>
      <c r="B579" s="1349"/>
      <c r="C579" s="12">
        <f>IF(C577="",IF(C578="","",C578),C577)</f>
        <v>1</v>
      </c>
      <c r="D579" s="1363"/>
      <c r="E579" s="353">
        <f>C579</f>
        <v>1</v>
      </c>
      <c r="F579" s="1363"/>
      <c r="G579" s="353">
        <f>E579</f>
        <v>1</v>
      </c>
      <c r="H579" s="1349"/>
      <c r="I579" s="12" t="s">
        <v>185</v>
      </c>
      <c r="J579" s="7"/>
      <c r="K579" s="7"/>
      <c r="L579" s="18"/>
    </row>
    <row r="580" spans="1:12" ht="15" customHeight="1" x14ac:dyDescent="0.35">
      <c r="A580" s="1364" t="s">
        <v>8</v>
      </c>
      <c r="B580" s="347" t="s">
        <v>345</v>
      </c>
      <c r="C580" s="435"/>
      <c r="D580" s="436"/>
      <c r="E580" s="2" t="str">
        <f>IF(OR($H$189="A",$H$189="B",$H$189="C"),IF(OR($H$180="X",$H$183="X"),IF(C585="X",IF($H$146="X",(IF($H$161="X",(IF(AND(C582&lt;$H$194,C582&gt;=$H$193),"SI","NO")),(IF($H$158="X",IF(AND((C582*$O$152/$O$149)&lt;$H$194,(C582*$O$152/$O$149)&gt;=$H$193),"SI","NO"),"ERRORE")))),IF($H$143="X",IF($H$158="X",(IF(AND(C582&lt;$H$194,C582&gt;=$H$193),"SI","NO")),"ERRORE"),"ERRORE")),"NON SERVE"),IF($H$186="X",IF($H$146="X",(IF($H$161="X",(IF(AND(MAX(C579,E579,G579,)&lt;$H$194,MAX(C579,E579,G579)&gt;=$H$193),"SI","NO")),(IF($H$158="X",IF(AND((MAX(C579,E579,G579)*$O$152/$O$149)&lt;$H$194,(MAX(C579,E579,G579)*$O$152/$O$149)&gt;=$H$193),"SI","NO"),"ERRORE")))),IF($H$143="X",IF($H$158="X",(IF(AND(MAX(C579,E579,G579)&lt;$H$194,MAX(C579,E579,G579)&gt;=$H$193),"SI","NO")),"ERRORE"),"ERRORE")))),"NON SERVE")</f>
        <v>NO</v>
      </c>
      <c r="F580" s="347" t="s">
        <v>322</v>
      </c>
      <c r="G580" s="4"/>
      <c r="H580" s="4"/>
      <c r="I580" s="2" t="str">
        <f>IF($H$189="0,2S",IF(OR($H$180="X",$H$183="X"),IF(C585="X",IF($H$146="X",(IF($H$161="X",(IF(AND(C582&lt;0.1*$H$192,C582&gt;=$H$193),"SI","NO")),(IF($H$158="X",IF(AND((C582*$O$152/$O$149)&lt;0.1*$H$192,(C582*$O$152/$O$149)&gt;=$H$193),"SI","NO"),"ERRORE")))),IF($H$143="X",IF($H$158="X",(IF(AND(C582&lt;0.1*$H$192,C582&gt;=$H$193),"SI","NO")),"ERRORE"),"ERRORE")),"NON SERVE"),IF($H$186="X",IF($H$146="X",(IF($H$161="X",(IF(AND(MAX(C579,E579,G579,)&lt;0.1*$H$192,MAX(C579,E579,G579)&gt;=$H$193),"SI","NO")),(IF($H$158="X",IF(AND((MAX(C579,E579,G579)*$O$152/$O$149)&lt;0.1*$H$192,(MAX(C579,E579,G579)*$O$152/$O$149)&gt;=$H$193),"SI","NO"),"ERRORE")))),IF($H$143="X",IF($H$158="X",(IF(AND(MAX(C579,E579,G579)&lt;0.1*$H$192,MAX(C579,E579,G579)&gt;=$H$193),"SI","NO")),"ERRORE"),"ERRORE")))),"NON SERVE")</f>
        <v>NON SERVE</v>
      </c>
      <c r="J580" s="7"/>
      <c r="K580" s="7"/>
      <c r="L580" s="18"/>
    </row>
    <row r="581" spans="1:12" x14ac:dyDescent="0.25">
      <c r="A581" s="1365"/>
      <c r="B581" s="9" t="s">
        <v>188</v>
      </c>
      <c r="C581" s="9">
        <f>ROUND(AVERAGE(C576,E576,G576),$H$163)</f>
        <v>57.7</v>
      </c>
      <c r="D581" s="9"/>
      <c r="E581" s="9"/>
      <c r="F581" s="351" t="s">
        <v>550</v>
      </c>
      <c r="G581" s="12" t="str">
        <f>G566</f>
        <v>A-</v>
      </c>
      <c r="H581" s="124" t="s">
        <v>238</v>
      </c>
      <c r="I581" s="12" t="str">
        <f>I566</f>
        <v>2.8.0</v>
      </c>
      <c r="J581" s="7"/>
      <c r="K581" s="7"/>
      <c r="L581" s="18"/>
    </row>
    <row r="582" spans="1:12" x14ac:dyDescent="0.25">
      <c r="A582" s="1365"/>
      <c r="B582" s="9" t="s">
        <v>189</v>
      </c>
      <c r="C582" s="440">
        <f>ROUND(AVERAGE(C579,E579,G579),$H$162)</f>
        <v>1</v>
      </c>
      <c r="D582" s="1347" t="s">
        <v>297</v>
      </c>
      <c r="E582" s="9"/>
      <c r="F582" s="7"/>
      <c r="G582" s="7"/>
      <c r="H582" s="9" t="s">
        <v>177</v>
      </c>
      <c r="I582" s="416">
        <f>IF('RAPPORTO ISPEZIONE'!J223&lt;&gt;"",'RAPPORTO ISPEZIONE'!J223,"")</f>
        <v>1.1999999999999999E-3</v>
      </c>
      <c r="J582" s="302"/>
      <c r="K582" s="417">
        <f>IF(AND(I582="",J582=""),"",IF(I582="",J582,I582))</f>
        <v>1.1999999999999999E-3</v>
      </c>
      <c r="L582" s="33" t="s">
        <v>191</v>
      </c>
    </row>
    <row r="583" spans="1:12" ht="18" customHeight="1" x14ac:dyDescent="0.25">
      <c r="A583" s="1365"/>
      <c r="B583" s="6" t="s">
        <v>332</v>
      </c>
      <c r="C583" s="441">
        <f>IF($O$141="X",IF($H$161="X",IF(C585="X",C582/$O$152,IF(E585="X",C579/$O$152,IF(G585="X",E579/$O$152,IF(I585="X",G579/$O$152,"ERRORE")))),IF($H$158="X",IF(C585="X",C582/$O$149,IF(E585="X",C579/$O$149,IF(G585="X",E579/$O$149,IF(I585="X",G579/$O$149,"ERRORE")))))),"NON SERVE")</f>
        <v>0.2</v>
      </c>
      <c r="D583" s="1348"/>
      <c r="E583" s="9"/>
      <c r="F583" s="7"/>
      <c r="G583" s="7"/>
      <c r="H583" s="9" t="s">
        <v>178</v>
      </c>
      <c r="I583" s="416">
        <f>IF('RAPPORTO ISPEZIONE'!K223&lt;&gt;"",'RAPPORTO ISPEZIONE'!K223,"")</f>
        <v>1.1999999999999999E-3</v>
      </c>
      <c r="J583" s="302"/>
      <c r="K583" s="417">
        <f>IF(AND(I583="",J583=""),"",IF(I583="",J583,I583))</f>
        <v>1.1999999999999999E-3</v>
      </c>
      <c r="L583" s="420">
        <f>ROUND(AVERAGE(K582,K583,K584),$H$164+2)</f>
        <v>1.1999999999999999E-3</v>
      </c>
    </row>
    <row r="584" spans="1:12" ht="15" customHeight="1" x14ac:dyDescent="0.25">
      <c r="A584" s="1366"/>
      <c r="B584" s="27" t="s">
        <v>333</v>
      </c>
      <c r="C584" s="442">
        <f>IF($O$159="X",IF($H$161="X",IF($O$162="X",IF(E584="F-N",C581/$O$171,C581/($O$171*SQRT(3))),IF($O$161="X",IF(E584="F-F",C581/$O$171,"ERRORE"),IF($O$160="X",C581/$O$171))),IF($O$159="X",IF($H$158="X",IF($O$162="X",IF(E584="F-N",C581/$O$167,C581/($O$167*SQRT(3))),IF($O$161="X",IF(E584="F-F",C581/$O$167,"ERRORE"),IF($O$160="X",C581/$O$167)))))))</f>
        <v>0.57700000000000007</v>
      </c>
      <c r="D584" s="1349"/>
      <c r="E584" s="353" t="str">
        <f>E569</f>
        <v>F-N</v>
      </c>
      <c r="F584" s="7"/>
      <c r="G584" s="7"/>
      <c r="H584" s="9" t="s">
        <v>179</v>
      </c>
      <c r="I584" s="416">
        <f>IF('RAPPORTO ISPEZIONE'!L223&lt;&gt;"",'RAPPORTO ISPEZIONE'!L223,"")</f>
        <v>1.1999999999999999E-3</v>
      </c>
      <c r="J584" s="302"/>
      <c r="K584" s="417">
        <f>IF(AND(I584="",J584=""),"",IF(I584="",J584,I584))</f>
        <v>1.1999999999999999E-3</v>
      </c>
      <c r="L584" s="33"/>
    </row>
    <row r="585" spans="1:12" ht="15" customHeight="1" x14ac:dyDescent="0.25">
      <c r="A585" s="422" t="s">
        <v>286</v>
      </c>
      <c r="B585" s="9" t="s">
        <v>282</v>
      </c>
      <c r="C585" s="12" t="str">
        <f>IF(OR($H$180="X",$H$183="X"),"X",IF($H$186="X",""))</f>
        <v>X</v>
      </c>
      <c r="D585" s="9" t="s">
        <v>283</v>
      </c>
      <c r="E585" s="12" t="str">
        <f>IF(OR($H$180="X",$H$183="X"),"",IF($H$186="X","X"))</f>
        <v/>
      </c>
      <c r="F585" s="26" t="s">
        <v>284</v>
      </c>
      <c r="G585" s="12" t="str">
        <f>IF(OR($H$180="X",$H$183="X"),"",IF($H$186="X",""))</f>
        <v/>
      </c>
      <c r="H585" s="28" t="s">
        <v>285</v>
      </c>
      <c r="I585" s="12" t="str">
        <f>IF(OR($H$180="X",$H$183="X"),"",IF($H$186="X",""))</f>
        <v/>
      </c>
      <c r="J585" s="7"/>
      <c r="K585" s="7"/>
      <c r="L585" s="423" t="str">
        <f>IF(B573="X",IF((IF(C585="X",1,0)+IF(E585="X",1,0)+IF(G585="X",1,0)+IF(I585="X",1,0))&lt;&gt;1,"ERRORE",""),"")</f>
        <v/>
      </c>
    </row>
    <row r="586" spans="1:12" ht="15" customHeight="1" x14ac:dyDescent="0.25">
      <c r="A586" s="424"/>
      <c r="B586" s="7"/>
      <c r="C586" s="7"/>
      <c r="D586" s="7"/>
      <c r="E586" s="7"/>
      <c r="F586" s="7"/>
      <c r="G586" s="7"/>
      <c r="H586" s="7"/>
      <c r="I586" s="7"/>
      <c r="J586" s="5"/>
      <c r="K586" s="7"/>
      <c r="L586" s="18"/>
    </row>
    <row r="587" spans="1:12" x14ac:dyDescent="0.25">
      <c r="A587" s="424"/>
      <c r="B587" s="7"/>
      <c r="C587" s="7"/>
      <c r="D587" s="7"/>
      <c r="E587" s="7"/>
      <c r="F587" s="7"/>
      <c r="G587" s="7"/>
      <c r="H587" s="7"/>
      <c r="I587" s="7"/>
      <c r="J587" s="7"/>
      <c r="K587" s="7"/>
      <c r="L587" s="18"/>
    </row>
    <row r="588" spans="1:12" x14ac:dyDescent="0.25">
      <c r="A588" s="411" t="s">
        <v>559</v>
      </c>
      <c r="B588" s="289" t="s">
        <v>1230</v>
      </c>
      <c r="C588" s="434" t="s">
        <v>725</v>
      </c>
      <c r="D588" s="7"/>
      <c r="E588" s="7"/>
      <c r="F588" s="7"/>
      <c r="G588" s="7"/>
      <c r="H588" s="7"/>
      <c r="I588" s="7"/>
      <c r="J588" s="7"/>
      <c r="K588" s="7"/>
      <c r="L588" s="18"/>
    </row>
    <row r="589" spans="1:12" x14ac:dyDescent="0.25">
      <c r="A589" s="1367" t="s">
        <v>166</v>
      </c>
      <c r="B589" s="1363" t="s">
        <v>167</v>
      </c>
      <c r="C589" s="9"/>
      <c r="D589" s="1363" t="s">
        <v>168</v>
      </c>
      <c r="E589" s="9"/>
      <c r="F589" s="1363" t="s">
        <v>169</v>
      </c>
      <c r="G589" s="9"/>
      <c r="H589" s="1363" t="s">
        <v>174</v>
      </c>
      <c r="I589" s="9"/>
      <c r="J589" s="7"/>
      <c r="K589" s="7"/>
      <c r="L589" s="18"/>
    </row>
    <row r="590" spans="1:12" x14ac:dyDescent="0.25">
      <c r="A590" s="1367"/>
      <c r="B590" s="1363"/>
      <c r="C590" s="439"/>
      <c r="D590" s="1363"/>
      <c r="E590" s="439"/>
      <c r="F590" s="1363"/>
      <c r="G590" s="439"/>
      <c r="H590" s="1363"/>
      <c r="I590" s="12"/>
      <c r="J590" s="7"/>
      <c r="K590" s="7"/>
      <c r="L590" s="18"/>
    </row>
    <row r="591" spans="1:12" x14ac:dyDescent="0.25">
      <c r="A591" s="1367"/>
      <c r="B591" s="1363"/>
      <c r="C591" s="439">
        <f>C576</f>
        <v>57.7</v>
      </c>
      <c r="D591" s="1363"/>
      <c r="E591" s="439">
        <f>E576</f>
        <v>57.7</v>
      </c>
      <c r="F591" s="1363"/>
      <c r="G591" s="439">
        <f>G576</f>
        <v>57.7</v>
      </c>
      <c r="H591" s="1363"/>
      <c r="I591" s="12">
        <v>0.5</v>
      </c>
      <c r="J591" s="7"/>
      <c r="K591" s="7"/>
      <c r="L591" s="18"/>
    </row>
    <row r="592" spans="1:12" x14ac:dyDescent="0.25">
      <c r="A592" s="1367" t="s">
        <v>170</v>
      </c>
      <c r="B592" s="1363" t="s">
        <v>171</v>
      </c>
      <c r="C592" s="9"/>
      <c r="D592" s="1363" t="s">
        <v>172</v>
      </c>
      <c r="E592" s="9"/>
      <c r="F592" s="1363" t="s">
        <v>173</v>
      </c>
      <c r="G592" s="9"/>
      <c r="H592" s="1363" t="s">
        <v>175</v>
      </c>
      <c r="I592" s="9"/>
      <c r="J592" s="7"/>
      <c r="K592" s="7"/>
      <c r="L592" s="18"/>
    </row>
    <row r="593" spans="1:12" x14ac:dyDescent="0.25">
      <c r="A593" s="1367"/>
      <c r="B593" s="1363"/>
      <c r="C593" s="2"/>
      <c r="D593" s="1363"/>
      <c r="E593" s="2"/>
      <c r="F593" s="1363"/>
      <c r="G593" s="2"/>
      <c r="H593" s="1363"/>
      <c r="I593" s="12"/>
      <c r="J593" s="7"/>
      <c r="K593" s="7"/>
      <c r="L593" s="18"/>
    </row>
    <row r="594" spans="1:12" x14ac:dyDescent="0.25">
      <c r="A594" s="1367"/>
      <c r="B594" s="1363"/>
      <c r="C594" s="2">
        <f>C579</f>
        <v>1</v>
      </c>
      <c r="D594" s="1363"/>
      <c r="E594" s="2">
        <f>C594</f>
        <v>1</v>
      </c>
      <c r="F594" s="1363"/>
      <c r="G594" s="2">
        <f>C594</f>
        <v>1</v>
      </c>
      <c r="H594" s="1363"/>
      <c r="I594" s="12" t="s">
        <v>185</v>
      </c>
      <c r="J594" s="7"/>
      <c r="K594" s="7"/>
      <c r="L594" s="18"/>
    </row>
    <row r="595" spans="1:12" ht="18" x14ac:dyDescent="0.35">
      <c r="A595" s="1364" t="s">
        <v>8</v>
      </c>
      <c r="B595" s="347" t="s">
        <v>345</v>
      </c>
      <c r="C595" s="435"/>
      <c r="D595" s="436"/>
      <c r="E595" s="2" t="str">
        <f>IF(OR($H$189="A",$H$189="B",$H$189="C"),IF(OR($H$180="X",$H$183="X"),IF(C600="X",IF($H$146="X",(IF($H$161="X",(IF(AND(C597&lt;$H$194,C597&gt;=$H$193),"SI","NO")),(IF($H$158="X",IF(AND((C597*$O$152/$O$149)&lt;$H$194,(C597*$O$152/$O$149)&gt;=$H$193),"SI","NO"),"ERRORE")))),IF($H$143="X",IF($H$158="X",(IF(AND(C597&lt;$H$194,C597&gt;=$H$193),"SI","NO")),"ERRORE"),"ERRORE")),"NON SERVE"),IF($H$186="X",IF($H$146="X",(IF($H$161="X",(IF(AND(MAX(C594,E594,G594,)&lt;$H$194,MAX(C594,E594,G594)&gt;=$H$193),"SI","NO")),(IF($H$158="X",IF(AND((MAX(C594,E594,G594)*$O$152/$O$149)&lt;$H$194,(MAX(C594,E594,G594)*$O$152/$O$149)&gt;=$H$193),"SI","NO"),"ERRORE")))),IF($H$143="X",IF($H$158="X",(IF(AND(MAX(C594,E594,G594)&lt;$H$194,MAX(C594,E594,G594)&gt;=$H$193),"SI","NO")),"ERRORE"),"ERRORE")))),"NON SERVE")</f>
        <v>NO</v>
      </c>
      <c r="F595" s="347" t="s">
        <v>322</v>
      </c>
      <c r="G595" s="4"/>
      <c r="H595" s="4"/>
      <c r="I595" s="2" t="str">
        <f>IF($H$189="0,2S",IF(OR($H$180="X",$H$183="X"),IF(C600="X",IF($H$146="X",(IF($H$161="X",(IF(AND(C597&lt;0.1*$H$192,C597&gt;=$H$193),"SI","NO")),(IF($H$158="X",IF(AND((C597*$O$152/$O$149)&lt;0.1*$H$192,(C597*$O$152/$O$149)&gt;=$H$193),"SI","NO"),"ERRORE")))),IF($H$143="X",IF($H$158="X",(IF(AND(C597&lt;0.1*$H$192,C597&gt;=$H$193),"SI","NO")),"ERRORE"),"ERRORE")),"NON SERVE"),IF($H$186="X",IF($H$146="X",(IF($H$161="X",(IF(AND(MAX(C594,E594,G594,)&lt;0.1*$H$192,MAX(C594,E594,G594)&gt;=$H$193),"SI","NO")),(IF($H$158="X",IF(AND((MAX(C594,E594,G594)*$O$152/$O$149)&lt;0.1*$H$192,(MAX(C594,E594,G594)*$O$152/$O$149)&gt;=$H$193),"SI","NO"),"ERRORE")))),IF($H$143="X",IF($H$158="X",(IF(AND(MAX(C594,E594,G594)&lt;0.1*$H$192,MAX(C594,E594,G594)&gt;=$H$193),"SI","NO")),"ERRORE"),"ERRORE")))),"NON SERVE")</f>
        <v>NON SERVE</v>
      </c>
      <c r="J595" s="7"/>
      <c r="K595" s="7"/>
      <c r="L595" s="18"/>
    </row>
    <row r="596" spans="1:12" x14ac:dyDescent="0.25">
      <c r="A596" s="1365"/>
      <c r="B596" s="9" t="s">
        <v>188</v>
      </c>
      <c r="C596" s="9">
        <f>ROUND(AVERAGE(C591,E591,G591),$H$163)</f>
        <v>57.7</v>
      </c>
      <c r="D596" s="9"/>
      <c r="E596" s="9"/>
      <c r="F596" s="351" t="s">
        <v>550</v>
      </c>
      <c r="G596" s="12" t="str">
        <f>G581</f>
        <v>A-</v>
      </c>
      <c r="H596" s="124" t="s">
        <v>238</v>
      </c>
      <c r="I596" s="12" t="str">
        <f>I581</f>
        <v>2.8.0</v>
      </c>
      <c r="J596" s="7"/>
      <c r="K596" s="7"/>
      <c r="L596" s="18"/>
    </row>
    <row r="597" spans="1:12" x14ac:dyDescent="0.25">
      <c r="A597" s="1365"/>
      <c r="B597" s="9" t="s">
        <v>189</v>
      </c>
      <c r="C597" s="440">
        <f>ROUND(AVERAGE(C594,E594,G594),$H$162)</f>
        <v>1</v>
      </c>
      <c r="D597" s="1347" t="s">
        <v>297</v>
      </c>
      <c r="E597" s="9"/>
      <c r="F597" s="7"/>
      <c r="G597" s="7"/>
      <c r="H597" s="9" t="s">
        <v>177</v>
      </c>
      <c r="I597" s="416">
        <f>IF('RAPPORTO ISPEZIONE'!J224&lt;&gt;"",'RAPPORTO ISPEZIONE'!J224,"")</f>
        <v>1.2999999999999999E-3</v>
      </c>
      <c r="J597" s="302"/>
      <c r="K597" s="417">
        <f>IF(AND(I597="",J597=""),"",IF(I597="",J597,I597))</f>
        <v>1.2999999999999999E-3</v>
      </c>
      <c r="L597" s="33" t="s">
        <v>191</v>
      </c>
    </row>
    <row r="598" spans="1:12" x14ac:dyDescent="0.25">
      <c r="A598" s="1365"/>
      <c r="B598" s="6" t="s">
        <v>332</v>
      </c>
      <c r="C598" s="441">
        <f>IF($O$141="X",IF($H$161="X",IF(C600="X",C597/$O$152,IF(E600="X",C594/$O$152,IF(G600="X",E594/$O$152,IF(I600="X",G594/$O$152,"ERRORE")))),IF($H$158="X",IF(C600="X",C597/$O$149,IF(E600="X",C594/$O$149,IF(G600="X",E594/$O$149,IF(I600="X",G594/$O$149,"ERRORE")))))),"NON SERVE")</f>
        <v>0.2</v>
      </c>
      <c r="D598" s="1348"/>
      <c r="E598" s="9"/>
      <c r="F598" s="7"/>
      <c r="G598" s="7"/>
      <c r="H598" s="9" t="s">
        <v>178</v>
      </c>
      <c r="I598" s="416">
        <f>IF('RAPPORTO ISPEZIONE'!K224&lt;&gt;"",'RAPPORTO ISPEZIONE'!K224,"")</f>
        <v>1.2999999999999999E-3</v>
      </c>
      <c r="J598" s="302"/>
      <c r="K598" s="417">
        <f>IF(AND(I598="",J598=""),"",IF(I598="",J598,I598))</f>
        <v>1.2999999999999999E-3</v>
      </c>
      <c r="L598" s="420">
        <f>ROUND(AVERAGE(K597,K598,K599),$H$164+2)</f>
        <v>1.2999999999999999E-3</v>
      </c>
    </row>
    <row r="599" spans="1:12" x14ac:dyDescent="0.25">
      <c r="A599" s="1366"/>
      <c r="B599" s="27" t="s">
        <v>333</v>
      </c>
      <c r="C599" s="442">
        <f>IF($O$159="X",IF($H$161="X",IF($O$162="X",IF(E599="F-N",C596/$O$171,C596/($O$171*SQRT(3))),IF($O$161="X",IF(E599="F-F",C596/$O$171,"ERRORE"),IF($O$160="X",C596/$O$171))),IF($O$159="X",IF($H$158="X",IF($O$162="X",IF(E599="F-N",C596/$O$167,C596/($O$167*SQRT(3))),IF($O$161="X",IF(E599="F-F",C596/$O$167,"ERRORE"),IF($O$160="X",C596/$O$167)))))))</f>
        <v>0.57700000000000007</v>
      </c>
      <c r="D599" s="1349"/>
      <c r="E599" s="353" t="str">
        <f>E584</f>
        <v>F-N</v>
      </c>
      <c r="F599" s="7"/>
      <c r="G599" s="7"/>
      <c r="H599" s="9" t="s">
        <v>179</v>
      </c>
      <c r="I599" s="416">
        <f>IF('RAPPORTO ISPEZIONE'!L224&lt;&gt;"",'RAPPORTO ISPEZIONE'!L224,"")</f>
        <v>1.2999999999999999E-3</v>
      </c>
      <c r="J599" s="302"/>
      <c r="K599" s="417">
        <f>IF(AND(I599="",J599=""),"",IF(I599="",J599,I599))</f>
        <v>1.2999999999999999E-3</v>
      </c>
      <c r="L599" s="33"/>
    </row>
    <row r="600" spans="1:12" x14ac:dyDescent="0.25">
      <c r="A600" s="422" t="s">
        <v>286</v>
      </c>
      <c r="B600" s="9" t="s">
        <v>282</v>
      </c>
      <c r="C600" s="12" t="str">
        <f>IF(OR($H$180="X",$H$183="X"),"X",IF($H$186="X",""))</f>
        <v>X</v>
      </c>
      <c r="D600" s="9" t="s">
        <v>283</v>
      </c>
      <c r="E600" s="12" t="str">
        <f>IF(OR($H$180="X",$H$183="X"),"",IF($H$186="X","X"))</f>
        <v/>
      </c>
      <c r="F600" s="26" t="s">
        <v>284</v>
      </c>
      <c r="G600" s="12" t="str">
        <f>IF(OR($H$180="X",$H$183="X"),"",IF($H$186="X",""))</f>
        <v/>
      </c>
      <c r="H600" s="28" t="s">
        <v>285</v>
      </c>
      <c r="I600" s="12" t="str">
        <f>IF(OR($H$180="X",$H$183="X"),"",IF($H$186="X",""))</f>
        <v/>
      </c>
      <c r="J600" s="7"/>
      <c r="K600" s="7"/>
      <c r="L600" s="423" t="str">
        <f>IF(B588="X",IF((IF(C600="X",1,0)+IF(E600="X",1,0)+IF(G600="X",1,0)+IF(I600="X",1,0))&lt;&gt;1,"ERRORE",""),"")</f>
        <v/>
      </c>
    </row>
    <row r="601" spans="1:12" ht="15" customHeight="1" x14ac:dyDescent="0.25">
      <c r="A601" s="424"/>
      <c r="B601" s="7"/>
      <c r="C601" s="7"/>
      <c r="D601" s="7"/>
      <c r="E601" s="7"/>
      <c r="F601" s="7"/>
      <c r="G601" s="7"/>
      <c r="H601" s="7"/>
      <c r="I601" s="5"/>
      <c r="J601" s="5"/>
      <c r="K601" s="7"/>
      <c r="L601" s="18"/>
    </row>
    <row r="602" spans="1:12" ht="15" customHeight="1" x14ac:dyDescent="0.25">
      <c r="A602" s="424"/>
      <c r="B602" s="7"/>
      <c r="C602" s="7"/>
      <c r="D602" s="7"/>
      <c r="E602" s="7"/>
      <c r="F602" s="7"/>
      <c r="G602" s="7"/>
      <c r="H602" s="7"/>
      <c r="I602" s="7"/>
      <c r="J602" s="7"/>
      <c r="K602" s="7"/>
      <c r="L602" s="18"/>
    </row>
    <row r="603" spans="1:12" ht="15" customHeight="1" x14ac:dyDescent="0.25">
      <c r="A603" s="411" t="s">
        <v>560</v>
      </c>
      <c r="B603" s="289" t="s">
        <v>1230</v>
      </c>
      <c r="C603" s="434" t="s">
        <v>724</v>
      </c>
      <c r="D603" s="7"/>
      <c r="E603" s="7"/>
      <c r="F603" s="7"/>
      <c r="G603" s="7"/>
      <c r="H603" s="7"/>
      <c r="I603" s="7"/>
      <c r="J603" s="7"/>
      <c r="K603" s="7"/>
      <c r="L603" s="18"/>
    </row>
    <row r="604" spans="1:12" ht="15" customHeight="1" x14ac:dyDescent="0.25">
      <c r="A604" s="1367" t="s">
        <v>166</v>
      </c>
      <c r="B604" s="1363" t="s">
        <v>167</v>
      </c>
      <c r="C604" s="9"/>
      <c r="D604" s="1363" t="s">
        <v>168</v>
      </c>
      <c r="E604" s="9"/>
      <c r="F604" s="1363" t="s">
        <v>169</v>
      </c>
      <c r="G604" s="9"/>
      <c r="H604" s="1363" t="s">
        <v>174</v>
      </c>
      <c r="I604" s="9"/>
      <c r="J604" s="7"/>
      <c r="K604" s="7"/>
      <c r="L604" s="18"/>
    </row>
    <row r="605" spans="1:12" ht="15" customHeight="1" x14ac:dyDescent="0.25">
      <c r="A605" s="1367"/>
      <c r="B605" s="1363"/>
      <c r="C605" s="439"/>
      <c r="D605" s="1363"/>
      <c r="E605" s="439"/>
      <c r="F605" s="1363"/>
      <c r="G605" s="439"/>
      <c r="H605" s="1363"/>
      <c r="I605" s="12"/>
      <c r="J605" s="7"/>
      <c r="K605" s="7"/>
      <c r="L605" s="18"/>
    </row>
    <row r="606" spans="1:12" ht="15" customHeight="1" x14ac:dyDescent="0.25">
      <c r="A606" s="1367"/>
      <c r="B606" s="1363"/>
      <c r="C606" s="439">
        <f>C591</f>
        <v>57.7</v>
      </c>
      <c r="D606" s="1363"/>
      <c r="E606" s="439">
        <f>E591</f>
        <v>57.7</v>
      </c>
      <c r="F606" s="1363"/>
      <c r="G606" s="439">
        <f>G591</f>
        <v>57.7</v>
      </c>
      <c r="H606" s="1363"/>
      <c r="I606" s="12">
        <v>1</v>
      </c>
      <c r="J606" s="7"/>
      <c r="K606" s="7"/>
      <c r="L606" s="18"/>
    </row>
    <row r="607" spans="1:12" ht="15" customHeight="1" x14ac:dyDescent="0.25">
      <c r="A607" s="1367" t="s">
        <v>170</v>
      </c>
      <c r="B607" s="1363" t="s">
        <v>171</v>
      </c>
      <c r="C607" s="383">
        <f>IF('RAPPORTO ISPEZIONE'!C225&lt;&gt;"",'RAPPORTO ISPEZIONE'!C225,"")</f>
        <v>5</v>
      </c>
      <c r="D607" s="1363" t="s">
        <v>172</v>
      </c>
      <c r="E607" s="353">
        <f>C607</f>
        <v>5</v>
      </c>
      <c r="F607" s="1363" t="s">
        <v>173</v>
      </c>
      <c r="G607" s="353">
        <f>E607</f>
        <v>5</v>
      </c>
      <c r="H607" s="1363" t="s">
        <v>175</v>
      </c>
      <c r="I607" s="9"/>
      <c r="J607" s="7"/>
      <c r="K607" s="7"/>
      <c r="L607" s="18"/>
    </row>
    <row r="608" spans="1:12" ht="15" customHeight="1" x14ac:dyDescent="0.25">
      <c r="A608" s="1367"/>
      <c r="B608" s="1363"/>
      <c r="C608" s="301"/>
      <c r="D608" s="1363"/>
      <c r="E608" s="353">
        <f>C608</f>
        <v>0</v>
      </c>
      <c r="F608" s="1363"/>
      <c r="G608" s="353">
        <f>E608</f>
        <v>0</v>
      </c>
      <c r="H608" s="1363"/>
      <c r="I608" s="12"/>
      <c r="J608" s="7"/>
      <c r="K608" s="7"/>
      <c r="L608" s="18"/>
    </row>
    <row r="609" spans="1:12" ht="15" customHeight="1" x14ac:dyDescent="0.25">
      <c r="A609" s="1367"/>
      <c r="B609" s="1363"/>
      <c r="C609" s="12">
        <f>IF(C607="",IF(C608="","",C608),C607)</f>
        <v>5</v>
      </c>
      <c r="D609" s="1363"/>
      <c r="E609" s="353">
        <f>C609</f>
        <v>5</v>
      </c>
      <c r="F609" s="1363"/>
      <c r="G609" s="353">
        <f>E609</f>
        <v>5</v>
      </c>
      <c r="H609" s="1363"/>
      <c r="I609" s="12" t="s">
        <v>185</v>
      </c>
      <c r="J609" s="7"/>
      <c r="K609" s="7"/>
      <c r="L609" s="18"/>
    </row>
    <row r="610" spans="1:12" ht="15" customHeight="1" x14ac:dyDescent="0.35">
      <c r="A610" s="1364" t="s">
        <v>8</v>
      </c>
      <c r="B610" s="347" t="s">
        <v>345</v>
      </c>
      <c r="C610" s="435"/>
      <c r="D610" s="436"/>
      <c r="E610" s="2" t="str">
        <f>IF(OR($H$189="A",$H$189="B",$H$189="C"),IF(OR($H$180="X",$H$183="X"),IF(C615="X",IF($H$146="X",(IF($H$161="X",(IF(AND(C612&lt;$H$194,C612&gt;=$H$193),"SI","NO")),(IF($H$158="X",IF(AND((C612*$O$152/$O$149)&lt;$H$194,(C612*$O$152/$O$149)&gt;=$H$193),"SI","NO"),"ERRORE")))),IF($H$143="X",IF($H$158="X",(IF(AND(C612&lt;$H$194,C612&gt;=$H$193),"SI","NO")),"ERRORE"),"ERRORE")),"NON SERVE"),IF($H$186="X",IF($H$146="X",(IF($H$161="X",(IF(AND(MAX(C609,E609,G609,)&lt;$H$194,MAX(C609,E609,G609)&gt;=$H$193),"SI","NO")),(IF($H$158="X",IF(AND((MAX(C609,E609,G609)*$O$152/$O$149)&lt;$H$194,(MAX(C609,E609,G609)*$O$152/$O$149)&gt;=$H$193),"SI","NO"),"ERRORE")))),IF($H$143="X",IF($H$158="X",(IF(AND(MAX(C609,E609,G609)&lt;$H$194,MAX(C609,E609,G609)&gt;=$H$193),"SI","NO")),"ERRORE"),"ERRORE")))),"NON SERVE")</f>
        <v>NO</v>
      </c>
      <c r="F610" s="347" t="s">
        <v>322</v>
      </c>
      <c r="G610" s="4"/>
      <c r="H610" s="4"/>
      <c r="I610" s="2" t="str">
        <f>IF($H$189="0,2S",IF(OR($H$180="X",$H$183="X"),IF(C615="X",IF($H$146="X",(IF($H$161="X",(IF(AND(C612&lt;0.1*$H$192,C612&gt;=$H$193),"SI","NO")),(IF($H$158="X",IF(AND((C612*$O$152/$O$149)&lt;0.1*$H$192,(C612*$O$152/$O$149)&gt;=$H$193),"SI","NO"),"ERRORE")))),IF($H$143="X",IF($H$158="X",(IF(AND(C612&lt;0.1*$H$192,C612&gt;=$H$193),"SI","NO")),"ERRORE"),"ERRORE")),"NON SERVE"),IF($H$186="X",IF($H$146="X",(IF($H$161="X",(IF(AND(MAX(C609,E609,G609,)&lt;0.1*$H$192,MAX(C609,E609,G609)&gt;=$H$193),"SI","NO")),(IF($H$158="X",IF(AND((MAX(C609,E609,G609)*$O$152/$O$149)&lt;0.1*$H$192,(MAX(C609,E609,G609)*$O$152/$O$149)&gt;=$H$193),"SI","NO"),"ERRORE")))),IF($H$143="X",IF($H$158="X",(IF(AND(MAX(C609,E609,G609)&lt;0.1*$H$192,MAX(C609,E609,G609)&gt;=$H$193),"SI","NO")),"ERRORE"),"ERRORE")))),"NON SERVE")</f>
        <v>NON SERVE</v>
      </c>
      <c r="J610" s="7"/>
      <c r="K610" s="7"/>
      <c r="L610" s="18"/>
    </row>
    <row r="611" spans="1:12" ht="15" customHeight="1" x14ac:dyDescent="0.25">
      <c r="A611" s="1365"/>
      <c r="B611" s="9" t="s">
        <v>188</v>
      </c>
      <c r="C611" s="9">
        <f>ROUND(AVERAGE(C606,E606,G606),$H$163)</f>
        <v>57.7</v>
      </c>
      <c r="D611" s="9"/>
      <c r="E611" s="9"/>
      <c r="F611" s="351" t="s">
        <v>550</v>
      </c>
      <c r="G611" s="12" t="str">
        <f>G596</f>
        <v>A-</v>
      </c>
      <c r="H611" s="124" t="s">
        <v>238</v>
      </c>
      <c r="I611" s="12" t="str">
        <f>I596</f>
        <v>2.8.0</v>
      </c>
      <c r="J611" s="7"/>
      <c r="K611" s="7"/>
      <c r="L611" s="18"/>
    </row>
    <row r="612" spans="1:12" ht="18" customHeight="1" x14ac:dyDescent="0.25">
      <c r="A612" s="1365"/>
      <c r="B612" s="9" t="s">
        <v>189</v>
      </c>
      <c r="C612" s="440">
        <f>ROUND(AVERAGE(C609,E609,G609),$H$162)</f>
        <v>5</v>
      </c>
      <c r="D612" s="1347" t="s">
        <v>297</v>
      </c>
      <c r="E612" s="9"/>
      <c r="F612" s="7"/>
      <c r="G612" s="7"/>
      <c r="H612" s="9" t="s">
        <v>177</v>
      </c>
      <c r="I612" s="416">
        <f>IF('RAPPORTO ISPEZIONE'!J225&lt;&gt;"",'RAPPORTO ISPEZIONE'!J225,"")</f>
        <v>1.4E-3</v>
      </c>
      <c r="J612" s="302"/>
      <c r="K612" s="417">
        <f>IF(AND(I612="",J612=""),"",IF(I612="",J612,I612))</f>
        <v>1.4E-3</v>
      </c>
      <c r="L612" s="33" t="s">
        <v>191</v>
      </c>
    </row>
    <row r="613" spans="1:12" x14ac:dyDescent="0.25">
      <c r="A613" s="1365"/>
      <c r="B613" s="6" t="s">
        <v>332</v>
      </c>
      <c r="C613" s="441">
        <f>IF($O$141="X",IF($H$161="X",IF(C615="X",C612/$O$152,IF(E615="X",C609/$O$152,IF(G615="X",E609/$O$152,IF(I615="X",G609/$O$152,"ERRORE")))),IF($H$158="X",IF(C615="X",C612/$O$149,IF(E615="X",C609/$O$149,IF(G615="X",E609/$O$149,IF(I615="X",G609/$O$149,"ERRORE")))))),"NON SERVE")</f>
        <v>1</v>
      </c>
      <c r="D613" s="1348"/>
      <c r="E613" s="9"/>
      <c r="F613" s="7"/>
      <c r="G613" s="7"/>
      <c r="H613" s="9" t="s">
        <v>178</v>
      </c>
      <c r="I613" s="416">
        <f>IF('RAPPORTO ISPEZIONE'!K225&lt;&gt;"",'RAPPORTO ISPEZIONE'!K225,"")</f>
        <v>1.4E-3</v>
      </c>
      <c r="J613" s="302"/>
      <c r="K613" s="417">
        <f>IF(AND(I613="",J613=""),"",IF(I613="",J613,I613))</f>
        <v>1.4E-3</v>
      </c>
      <c r="L613" s="420">
        <f>ROUND(AVERAGE(K612,K613,K614),$H$164+2)</f>
        <v>1.4E-3</v>
      </c>
    </row>
    <row r="614" spans="1:12" x14ac:dyDescent="0.25">
      <c r="A614" s="1366"/>
      <c r="B614" s="27" t="s">
        <v>333</v>
      </c>
      <c r="C614" s="442">
        <f>IF($O$159="X",IF($H$161="X",IF($O$162="X",IF(E614="F-N",C611/$O$171,C611/($O$171*SQRT(3))),IF($O$161="X",IF(E614="F-F",C611/$O$171,"ERRORE"),IF($O$160="X",C611/$O$171))),IF($O$159="X",IF($H$158="X",IF($O$162="X",IF(E614="F-N",C611/$O$167,C611/($O$167*SQRT(3))),IF($O$161="X",IF(E614="F-F",C611/$O$167,"ERRORE"),IF($O$160="X",C611/$O$167)))))))</f>
        <v>0.57700000000000007</v>
      </c>
      <c r="D614" s="1349"/>
      <c r="E614" s="353" t="str">
        <f>E599</f>
        <v>F-N</v>
      </c>
      <c r="F614" s="7"/>
      <c r="G614" s="7"/>
      <c r="H614" s="9" t="s">
        <v>179</v>
      </c>
      <c r="I614" s="416">
        <f>IF('RAPPORTO ISPEZIONE'!L225&lt;&gt;"",'RAPPORTO ISPEZIONE'!L225,"")</f>
        <v>1.4E-3</v>
      </c>
      <c r="J614" s="302"/>
      <c r="K614" s="417">
        <f>IF(AND(I614="",J614=""),"",IF(I614="",J614,I614))</f>
        <v>1.4E-3</v>
      </c>
      <c r="L614" s="33"/>
    </row>
    <row r="615" spans="1:12" x14ac:dyDescent="0.25">
      <c r="A615" s="422" t="s">
        <v>286</v>
      </c>
      <c r="B615" s="9" t="s">
        <v>282</v>
      </c>
      <c r="C615" s="12" t="str">
        <f>IF(OR($H$180="X",$H$183="X"),"X",IF($H$186="X",""))</f>
        <v>X</v>
      </c>
      <c r="D615" s="9" t="s">
        <v>283</v>
      </c>
      <c r="E615" s="12" t="str">
        <f>IF(OR($H$180="X",$H$183="X"),"",IF($H$186="X","X"))</f>
        <v/>
      </c>
      <c r="F615" s="26" t="s">
        <v>284</v>
      </c>
      <c r="G615" s="12" t="str">
        <f>IF(OR($H$180="X",$H$183="X"),"",IF($H$186="X",""))</f>
        <v/>
      </c>
      <c r="H615" s="28" t="s">
        <v>285</v>
      </c>
      <c r="I615" s="12" t="str">
        <f>IF(OR($H$180="X",$H$183="X"),"",IF($H$186="X",""))</f>
        <v/>
      </c>
      <c r="J615" s="7"/>
      <c r="K615" s="7"/>
      <c r="L615" s="423" t="str">
        <f>IF(B603="X",IF((IF(C615="X",1,0)+IF(E615="X",1,0)+IF(G615="X",1,0)+IF(I615="X",1,0))&lt;&gt;1,"ERRORE",""),"")</f>
        <v/>
      </c>
    </row>
    <row r="616" spans="1:12" x14ac:dyDescent="0.25">
      <c r="A616" s="424"/>
      <c r="B616" s="7"/>
      <c r="C616" s="7"/>
      <c r="D616" s="7"/>
      <c r="E616" s="7"/>
      <c r="F616" s="7"/>
      <c r="G616" s="7"/>
      <c r="H616" s="7"/>
      <c r="I616" s="5"/>
      <c r="J616" s="5"/>
      <c r="K616" s="7"/>
      <c r="L616" s="18"/>
    </row>
    <row r="617" spans="1:12" x14ac:dyDescent="0.25">
      <c r="A617" s="424"/>
      <c r="B617" s="7"/>
      <c r="C617" s="7"/>
      <c r="D617" s="7"/>
      <c r="E617" s="7"/>
      <c r="F617" s="7"/>
      <c r="G617" s="7"/>
      <c r="H617" s="7"/>
      <c r="I617" s="7"/>
      <c r="J617" s="7"/>
      <c r="K617" s="7"/>
      <c r="L617" s="18"/>
    </row>
    <row r="618" spans="1:12" x14ac:dyDescent="0.25">
      <c r="A618" s="411" t="s">
        <v>561</v>
      </c>
      <c r="B618" s="289" t="s">
        <v>1230</v>
      </c>
      <c r="C618" s="434" t="s">
        <v>729</v>
      </c>
      <c r="D618" s="7"/>
      <c r="E618" s="7"/>
      <c r="F618" s="7"/>
      <c r="G618" s="7"/>
      <c r="H618" s="7"/>
      <c r="I618" s="7"/>
      <c r="J618" s="7"/>
      <c r="K618" s="7"/>
      <c r="L618" s="18"/>
    </row>
    <row r="619" spans="1:12" x14ac:dyDescent="0.25">
      <c r="A619" s="1367" t="s">
        <v>166</v>
      </c>
      <c r="B619" s="1363" t="s">
        <v>167</v>
      </c>
      <c r="C619" s="9"/>
      <c r="D619" s="1363" t="s">
        <v>168</v>
      </c>
      <c r="E619" s="9"/>
      <c r="F619" s="1363" t="s">
        <v>169</v>
      </c>
      <c r="G619" s="9"/>
      <c r="H619" s="1363" t="s">
        <v>174</v>
      </c>
      <c r="I619" s="9"/>
      <c r="J619" s="7"/>
      <c r="K619" s="7"/>
      <c r="L619" s="18"/>
    </row>
    <row r="620" spans="1:12" x14ac:dyDescent="0.25">
      <c r="A620" s="1367"/>
      <c r="B620" s="1363"/>
      <c r="C620" s="439"/>
      <c r="D620" s="1363"/>
      <c r="E620" s="439"/>
      <c r="F620" s="1363"/>
      <c r="G620" s="439"/>
      <c r="H620" s="1363"/>
      <c r="I620" s="12"/>
      <c r="J620" s="7"/>
      <c r="K620" s="7"/>
      <c r="L620" s="18"/>
    </row>
    <row r="621" spans="1:12" x14ac:dyDescent="0.25">
      <c r="A621" s="1367"/>
      <c r="B621" s="1363"/>
      <c r="C621" s="439">
        <f>C606</f>
        <v>57.7</v>
      </c>
      <c r="D621" s="1363"/>
      <c r="E621" s="439">
        <f>E606</f>
        <v>57.7</v>
      </c>
      <c r="F621" s="1363"/>
      <c r="G621" s="439">
        <f>G606</f>
        <v>57.7</v>
      </c>
      <c r="H621" s="1363"/>
      <c r="I621" s="12">
        <v>0.5</v>
      </c>
      <c r="J621" s="7"/>
      <c r="K621" s="7"/>
      <c r="L621" s="18"/>
    </row>
    <row r="622" spans="1:12" x14ac:dyDescent="0.25">
      <c r="A622" s="1367" t="s">
        <v>170</v>
      </c>
      <c r="B622" s="1363" t="s">
        <v>171</v>
      </c>
      <c r="C622" s="9"/>
      <c r="D622" s="1363" t="s">
        <v>172</v>
      </c>
      <c r="E622" s="9"/>
      <c r="F622" s="1363" t="s">
        <v>173</v>
      </c>
      <c r="G622" s="9"/>
      <c r="H622" s="1363" t="s">
        <v>175</v>
      </c>
      <c r="I622" s="9"/>
      <c r="J622" s="7"/>
      <c r="K622" s="7"/>
      <c r="L622" s="18"/>
    </row>
    <row r="623" spans="1:12" x14ac:dyDescent="0.25">
      <c r="A623" s="1367"/>
      <c r="B623" s="1363"/>
      <c r="C623" s="2"/>
      <c r="D623" s="1363"/>
      <c r="E623" s="2"/>
      <c r="F623" s="1363"/>
      <c r="G623" s="2"/>
      <c r="H623" s="1363"/>
      <c r="I623" s="12"/>
      <c r="J623" s="7"/>
      <c r="K623" s="7"/>
      <c r="L623" s="18"/>
    </row>
    <row r="624" spans="1:12" x14ac:dyDescent="0.25">
      <c r="A624" s="1367"/>
      <c r="B624" s="1363"/>
      <c r="C624" s="2">
        <f>C609</f>
        <v>5</v>
      </c>
      <c r="D624" s="1363"/>
      <c r="E624" s="2">
        <f>C624</f>
        <v>5</v>
      </c>
      <c r="F624" s="1363"/>
      <c r="G624" s="2">
        <f>C624</f>
        <v>5</v>
      </c>
      <c r="H624" s="1363"/>
      <c r="I624" s="12" t="s">
        <v>185</v>
      </c>
      <c r="J624" s="7"/>
      <c r="K624" s="7"/>
      <c r="L624" s="18"/>
    </row>
    <row r="625" spans="1:12" ht="18" x14ac:dyDescent="0.35">
      <c r="A625" s="1364" t="s">
        <v>8</v>
      </c>
      <c r="B625" s="347" t="s">
        <v>345</v>
      </c>
      <c r="C625" s="435"/>
      <c r="D625" s="436"/>
      <c r="E625" s="2" t="str">
        <f>IF(OR($H$189="A",$H$189="B",$H$189="C"),IF(OR($H$180="X",$H$183="X"),IF(C630="X",IF($H$146="X",(IF($H$161="X",(IF(AND(C627&lt;$H$194,C627&gt;=$H$193),"SI","NO")),(IF($H$158="X",IF(AND((C627*$O$152/$O$149)&lt;$H$194,(C627*$O$152/$O$149)&gt;=$H$193),"SI","NO"),"ERRORE")))),IF($H$143="X",IF($H$158="X",(IF(AND(C627&lt;$H$194,C627&gt;=$H$193),"SI","NO")),"ERRORE"),"ERRORE")),"NON SERVE"),IF($H$186="X",IF($H$146="X",(IF($H$161="X",(IF(AND(MAX(C624,E624,G624,)&lt;$H$194,MAX(C624,E624,G624)&gt;=$H$193),"SI","NO")),(IF($H$158="X",IF(AND((MAX(C624,E624,G624)*$O$152/$O$149)&lt;$H$194,(MAX(C624,E624,G624)*$O$152/$O$149)&gt;=$H$193),"SI","NO"),"ERRORE")))),IF($H$143="X",IF($H$158="X",(IF(AND(MAX(C624,E624,G624)&lt;$H$194,MAX(C624,E624,G624)&gt;=$H$193),"SI","NO")),"ERRORE"),"ERRORE")))),"NON SERVE")</f>
        <v>NO</v>
      </c>
      <c r="F625" s="347" t="s">
        <v>322</v>
      </c>
      <c r="G625" s="4"/>
      <c r="H625" s="4"/>
      <c r="I625" s="2" t="str">
        <f>IF($H$189="0,2S",IF(OR($H$180="X",$H$183="X"),IF(C630="X",IF($H$146="X",(IF($H$161="X",(IF(AND(C627&lt;0.1*$H$192,C627&gt;=$H$193),"SI","NO")),(IF($H$158="X",IF(AND((C627*$O$152/$O$149)&lt;0.1*$H$192,(C627*$O$152/$O$149)&gt;=$H$193),"SI","NO"),"ERRORE")))),IF($H$143="X",IF($H$158="X",(IF(AND(C627&lt;0.1*$H$192,C627&gt;=$H$193),"SI","NO")),"ERRORE"),"ERRORE")),"NON SERVE"),IF($H$186="X",IF($H$146="X",(IF($H$161="X",(IF(AND(MAX(C624,E624,G624,)&lt;0.1*$H$192,MAX(C624,E624,G624)&gt;=$H$193),"SI","NO")),(IF($H$158="X",IF(AND((MAX(C624,E624,G624)*$O$152/$O$149)&lt;0.1*$H$192,(MAX(C624,E624,G624)*$O$152/$O$149)&gt;=$H$193),"SI","NO"),"ERRORE")))),IF($H$143="X",IF($H$158="X",(IF(AND(MAX(C624,E624,G624)&lt;0.1*$H$192,MAX(C624,E624,G624)&gt;=$H$193),"SI","NO")),"ERRORE"),"ERRORE")))),"NON SERVE")</f>
        <v>NON SERVE</v>
      </c>
      <c r="J625" s="7"/>
      <c r="K625" s="7"/>
      <c r="L625" s="18"/>
    </row>
    <row r="626" spans="1:12" x14ac:dyDescent="0.25">
      <c r="A626" s="1365"/>
      <c r="B626" s="9" t="s">
        <v>188</v>
      </c>
      <c r="C626" s="9">
        <f>ROUND(AVERAGE(C621,E621,G621),$H$163)</f>
        <v>57.7</v>
      </c>
      <c r="D626" s="9"/>
      <c r="E626" s="9"/>
      <c r="F626" s="351" t="s">
        <v>550</v>
      </c>
      <c r="G626" s="12" t="str">
        <f>G611</f>
        <v>A-</v>
      </c>
      <c r="H626" s="124" t="s">
        <v>238</v>
      </c>
      <c r="I626" s="12" t="str">
        <f>I611</f>
        <v>2.8.0</v>
      </c>
      <c r="J626" s="7"/>
      <c r="K626" s="7"/>
      <c r="L626" s="18"/>
    </row>
    <row r="627" spans="1:12" x14ac:dyDescent="0.25">
      <c r="A627" s="1365"/>
      <c r="B627" s="9" t="s">
        <v>189</v>
      </c>
      <c r="C627" s="440">
        <f>ROUND(AVERAGE(C624,E624,G624),$H$162)</f>
        <v>5</v>
      </c>
      <c r="D627" s="1347" t="s">
        <v>297</v>
      </c>
      <c r="E627" s="9"/>
      <c r="F627" s="7"/>
      <c r="G627" s="7"/>
      <c r="H627" s="9" t="s">
        <v>177</v>
      </c>
      <c r="I627" s="416">
        <f>IF('RAPPORTO ISPEZIONE'!J226&lt;&gt;"",'RAPPORTO ISPEZIONE'!J226,"")</f>
        <v>1.5E-3</v>
      </c>
      <c r="J627" s="302"/>
      <c r="K627" s="417">
        <f>IF(AND(I627="",J627=""),"",IF(I627="",J627,I627))</f>
        <v>1.5E-3</v>
      </c>
      <c r="L627" s="33" t="s">
        <v>191</v>
      </c>
    </row>
    <row r="628" spans="1:12" x14ac:dyDescent="0.25">
      <c r="A628" s="1365"/>
      <c r="B628" s="6" t="s">
        <v>332</v>
      </c>
      <c r="C628" s="441">
        <f>IF($O$141="X",IF($H$161="X",IF(C630="X",C627/$O$152,IF(E630="X",C624/$O$152,IF(G630="X",E624/$O$152,IF(I630="X",G624/$O$152,"ERRORE")))),IF($H$158="X",IF(C630="X",C627/$O$149,IF(E630="X",C624/$O$149,IF(G630="X",E624/$O$149,IF(I630="X",G624/$O$149,"ERRORE")))))),"NON SERVE")</f>
        <v>1</v>
      </c>
      <c r="D628" s="1348"/>
      <c r="E628" s="9"/>
      <c r="F628" s="7"/>
      <c r="G628" s="7"/>
      <c r="H628" s="9" t="s">
        <v>178</v>
      </c>
      <c r="I628" s="416">
        <f>IF('RAPPORTO ISPEZIONE'!K226&lt;&gt;"",'RAPPORTO ISPEZIONE'!K226,"")</f>
        <v>1.5E-3</v>
      </c>
      <c r="J628" s="302"/>
      <c r="K628" s="417">
        <f>IF(AND(I628="",J628=""),"",IF(I628="",J628,I628))</f>
        <v>1.5E-3</v>
      </c>
      <c r="L628" s="420">
        <f>ROUND(AVERAGE(K627,K628,K629),$H$164+2)</f>
        <v>1.5E-3</v>
      </c>
    </row>
    <row r="629" spans="1:12" x14ac:dyDescent="0.25">
      <c r="A629" s="1366"/>
      <c r="B629" s="27" t="s">
        <v>333</v>
      </c>
      <c r="C629" s="442">
        <f>IF($O$159="X",IF($H$161="X",IF($O$162="X",IF(E629="F-N",C626/$O$171,C626/($O$171*SQRT(3))),IF($O$161="X",IF(E629="F-F",C626/$O$171,"ERRORE"),IF($O$160="X",C626/$O$171))),IF($O$159="X",IF($H$158="X",IF($O$162="X",IF(E629="F-N",C626/$O$167,C626/($O$167*SQRT(3))),IF($O$161="X",IF(E629="F-F",C626/$O$167,"ERRORE"),IF($O$160="X",C626/$O$167)))))))</f>
        <v>0.57700000000000007</v>
      </c>
      <c r="D629" s="1349"/>
      <c r="E629" s="353" t="str">
        <f>E614</f>
        <v>F-N</v>
      </c>
      <c r="F629" s="7"/>
      <c r="G629" s="7"/>
      <c r="H629" s="9" t="s">
        <v>179</v>
      </c>
      <c r="I629" s="416">
        <f>IF('RAPPORTO ISPEZIONE'!L226&lt;&gt;"",'RAPPORTO ISPEZIONE'!L226,"")</f>
        <v>1.5E-3</v>
      </c>
      <c r="J629" s="302"/>
      <c r="K629" s="417">
        <f>IF(AND(I629="",J629=""),"",IF(I629="",J629,I629))</f>
        <v>1.5E-3</v>
      </c>
      <c r="L629" s="33"/>
    </row>
    <row r="630" spans="1:12" x14ac:dyDescent="0.25">
      <c r="A630" s="422" t="s">
        <v>286</v>
      </c>
      <c r="B630" s="9" t="s">
        <v>282</v>
      </c>
      <c r="C630" s="12" t="str">
        <f>IF(OR($H$180="X",$H$183="X"),"X",IF($H$186="X",""))</f>
        <v>X</v>
      </c>
      <c r="D630" s="9" t="s">
        <v>283</v>
      </c>
      <c r="E630" s="12" t="str">
        <f>IF(OR($H$180="X",$H$183="X"),"",IF($H$186="X","X"))</f>
        <v/>
      </c>
      <c r="F630" s="26" t="s">
        <v>284</v>
      </c>
      <c r="G630" s="12" t="str">
        <f>IF(OR($H$180="X",$H$183="X"),"",IF($H$186="X",""))</f>
        <v/>
      </c>
      <c r="H630" s="28" t="s">
        <v>285</v>
      </c>
      <c r="I630" s="12" t="str">
        <f>IF(OR($H$180="X",$H$183="X"),"",IF($H$186="X",""))</f>
        <v/>
      </c>
      <c r="J630" s="7"/>
      <c r="K630" s="7"/>
      <c r="L630" s="423" t="str">
        <f>IF(B618="X",IF((IF(C630="X",1,0)+IF(E630="X",1,0)+IF(G630="X",1,0)+IF(I630="X",1,0))&lt;&gt;1,"ERRORE",""),"")</f>
        <v/>
      </c>
    </row>
    <row r="631" spans="1:12" x14ac:dyDescent="0.25">
      <c r="A631" s="424"/>
      <c r="B631" s="7"/>
      <c r="C631" s="7"/>
      <c r="D631" s="7"/>
      <c r="E631" s="7"/>
      <c r="F631" s="7"/>
      <c r="G631" s="7"/>
      <c r="H631" s="7"/>
      <c r="I631" s="7"/>
      <c r="J631" s="5"/>
      <c r="K631" s="7"/>
      <c r="L631" s="18"/>
    </row>
    <row r="632" spans="1:12" x14ac:dyDescent="0.25">
      <c r="A632" s="424"/>
      <c r="B632" s="7"/>
      <c r="C632" s="7"/>
      <c r="D632" s="7"/>
      <c r="E632" s="7"/>
      <c r="F632" s="7"/>
      <c r="G632" s="7"/>
      <c r="H632" s="7"/>
      <c r="I632" s="7"/>
      <c r="J632" s="7"/>
      <c r="K632" s="7"/>
      <c r="L632" s="18"/>
    </row>
    <row r="633" spans="1:12" x14ac:dyDescent="0.25">
      <c r="A633" s="411" t="s">
        <v>562</v>
      </c>
      <c r="B633" s="289" t="s">
        <v>1230</v>
      </c>
      <c r="C633" s="434" t="s">
        <v>731</v>
      </c>
      <c r="D633" s="7"/>
      <c r="E633" s="7"/>
      <c r="F633" s="7"/>
      <c r="G633" s="7"/>
      <c r="H633" s="7"/>
      <c r="I633" s="7"/>
      <c r="J633" s="7"/>
      <c r="K633" s="7"/>
      <c r="L633" s="18"/>
    </row>
    <row r="634" spans="1:12" x14ac:dyDescent="0.25">
      <c r="A634" s="1367" t="s">
        <v>166</v>
      </c>
      <c r="B634" s="1363" t="s">
        <v>167</v>
      </c>
      <c r="C634" s="9"/>
      <c r="D634" s="1363" t="s">
        <v>168</v>
      </c>
      <c r="E634" s="9"/>
      <c r="F634" s="1363" t="s">
        <v>169</v>
      </c>
      <c r="G634" s="9"/>
      <c r="H634" s="1363" t="s">
        <v>174</v>
      </c>
      <c r="I634" s="9"/>
      <c r="J634" s="7"/>
      <c r="K634" s="7"/>
      <c r="L634" s="18"/>
    </row>
    <row r="635" spans="1:12" x14ac:dyDescent="0.25">
      <c r="A635" s="1367"/>
      <c r="B635" s="1363"/>
      <c r="C635" s="439"/>
      <c r="D635" s="1363"/>
      <c r="E635" s="439"/>
      <c r="F635" s="1363"/>
      <c r="G635" s="439"/>
      <c r="H635" s="1363"/>
      <c r="I635" s="12"/>
      <c r="J635" s="7"/>
      <c r="K635" s="7"/>
      <c r="L635" s="18"/>
    </row>
    <row r="636" spans="1:12" x14ac:dyDescent="0.25">
      <c r="A636" s="1367"/>
      <c r="B636" s="1363"/>
      <c r="C636" s="439">
        <f>C621</f>
        <v>57.7</v>
      </c>
      <c r="D636" s="1363"/>
      <c r="E636" s="439">
        <f>E621</f>
        <v>57.7</v>
      </c>
      <c r="F636" s="1363"/>
      <c r="G636" s="439">
        <f>G621</f>
        <v>57.7</v>
      </c>
      <c r="H636" s="1363"/>
      <c r="I636" s="12">
        <v>1</v>
      </c>
      <c r="J636" s="7"/>
      <c r="K636" s="7"/>
      <c r="L636" s="18"/>
    </row>
    <row r="637" spans="1:12" x14ac:dyDescent="0.25">
      <c r="A637" s="1367" t="s">
        <v>170</v>
      </c>
      <c r="B637" s="1363" t="s">
        <v>171</v>
      </c>
      <c r="C637" s="383">
        <f>IF('RAPPORTO ISPEZIONE'!C227&lt;&gt;"",'RAPPORTO ISPEZIONE'!C227,"")</f>
        <v>6</v>
      </c>
      <c r="D637" s="1363" t="s">
        <v>172</v>
      </c>
      <c r="E637" s="353">
        <f>C637</f>
        <v>6</v>
      </c>
      <c r="F637" s="1363" t="s">
        <v>173</v>
      </c>
      <c r="G637" s="353">
        <f>E637</f>
        <v>6</v>
      </c>
      <c r="H637" s="1363" t="s">
        <v>175</v>
      </c>
      <c r="I637" s="9"/>
      <c r="J637" s="7"/>
      <c r="K637" s="7"/>
      <c r="L637" s="18"/>
    </row>
    <row r="638" spans="1:12" x14ac:dyDescent="0.25">
      <c r="A638" s="1367"/>
      <c r="B638" s="1363"/>
      <c r="C638" s="301"/>
      <c r="D638" s="1363"/>
      <c r="E638" s="353">
        <f>C638</f>
        <v>0</v>
      </c>
      <c r="F638" s="1363"/>
      <c r="G638" s="353">
        <f>E638</f>
        <v>0</v>
      </c>
      <c r="H638" s="1363"/>
      <c r="I638" s="12"/>
      <c r="J638" s="7"/>
      <c r="K638" s="7"/>
      <c r="L638" s="18"/>
    </row>
    <row r="639" spans="1:12" x14ac:dyDescent="0.25">
      <c r="A639" s="1367"/>
      <c r="B639" s="1363"/>
      <c r="C639" s="12">
        <f>IF(C637="",IF(C638="","",C638),C637)</f>
        <v>6</v>
      </c>
      <c r="D639" s="1363"/>
      <c r="E639" s="353">
        <f>C639</f>
        <v>6</v>
      </c>
      <c r="F639" s="1363"/>
      <c r="G639" s="353">
        <f>E639</f>
        <v>6</v>
      </c>
      <c r="H639" s="1363"/>
      <c r="I639" s="12" t="s">
        <v>185</v>
      </c>
      <c r="J639" s="7"/>
      <c r="K639" s="7"/>
      <c r="L639" s="18"/>
    </row>
    <row r="640" spans="1:12" ht="18" x14ac:dyDescent="0.35">
      <c r="A640" s="1364" t="s">
        <v>8</v>
      </c>
      <c r="B640" s="347" t="s">
        <v>345</v>
      </c>
      <c r="C640" s="435"/>
      <c r="D640" s="436"/>
      <c r="E640" s="2" t="str">
        <f>IF(OR($H$189="A",$H$189="B",$H$189="C"),IF(OR($H$180="X",$H$183="X"),IF(C645="X",IF($H$146="X",(IF($H$161="X",(IF(AND(C642&lt;$H$194,C642&gt;=$H$193),"SI","NO")),(IF($H$158="X",IF(AND((C642*$O$152/$O$149)&lt;$H$194,(C642*$O$152/$O$149)&gt;=$H$193),"SI","NO"),"ERRORE")))),IF($H$143="X",IF($H$158="X",(IF(AND(C642&lt;$H$194,C642&gt;=$H$193),"SI","NO")),"ERRORE"),"ERRORE")),"NON SERVE"),IF($H$186="X",IF($H$146="X",(IF($H$161="X",(IF(AND(MAX(C639,E639,G639,)&lt;$H$194,MAX(C639,E639,G639)&gt;=$H$193),"SI","NO")),(IF($H$158="X",IF(AND((MAX(C639,E639,G639)*$O$152/$O$149)&lt;$H$194,(MAX(C639,E639,G639)*$O$152/$O$149)&gt;=$H$193),"SI","NO"),"ERRORE")))),IF($H$143="X",IF($H$158="X",(IF(AND(MAX(C639,E639,G639)&lt;$H$194,MAX(C639,E639,G639)&gt;=$H$193),"SI","NO")),"ERRORE"),"ERRORE")))),"NON SERVE")</f>
        <v>NO</v>
      </c>
      <c r="F640" s="347" t="s">
        <v>322</v>
      </c>
      <c r="G640" s="4"/>
      <c r="H640" s="4"/>
      <c r="I640" s="2" t="str">
        <f>IF($H$189="0,2S",IF(OR($H$180="X",$H$183="X"),IF(C645="X",IF($H$146="X",(IF($H$161="X",(IF(AND(C642&lt;0.1*$H$192,C642&gt;=$H$193),"SI","NO")),(IF($H$158="X",IF(AND((C642*$O$152/$O$149)&lt;0.1*$H$192,(C642*$O$152/$O$149)&gt;=$H$193),"SI","NO"),"ERRORE")))),IF($H$143="X",IF($H$158="X",(IF(AND(C642&lt;0.1*$H$192,C642&gt;=$H$193),"SI","NO")),"ERRORE"),"ERRORE")),"NON SERVE"),IF($H$186="X",IF($H$146="X",(IF($H$161="X",(IF(AND(MAX(C639,E639,G639,)&lt;0.1*$H$192,MAX(C639,E639,G639)&gt;=$H$193),"SI","NO")),(IF($H$158="X",IF(AND((MAX(C639,E639,G639)*$O$152/$O$149)&lt;0.1*$H$192,(MAX(C639,E639,G639)*$O$152/$O$149)&gt;=$H$193),"SI","NO"),"ERRORE")))),IF($H$143="X",IF($H$158="X",(IF(AND(MAX(C639,E639,G639)&lt;0.1*$H$192,MAX(C639,E639,G639)&gt;=$H$193),"SI","NO")),"ERRORE"),"ERRORE")))),"NON SERVE")</f>
        <v>NON SERVE</v>
      </c>
      <c r="J640" s="7"/>
      <c r="K640" s="7"/>
      <c r="L640" s="18"/>
    </row>
    <row r="641" spans="1:12" x14ac:dyDescent="0.25">
      <c r="A641" s="1365"/>
      <c r="B641" s="9" t="s">
        <v>188</v>
      </c>
      <c r="C641" s="9">
        <f>ROUND(AVERAGE(C636,E636,G636),$H$163)</f>
        <v>57.7</v>
      </c>
      <c r="D641" s="9"/>
      <c r="E641" s="9"/>
      <c r="F641" s="351" t="s">
        <v>550</v>
      </c>
      <c r="G641" s="12" t="str">
        <f>G626</f>
        <v>A-</v>
      </c>
      <c r="H641" s="124" t="s">
        <v>238</v>
      </c>
      <c r="I641" s="12" t="str">
        <f>I626</f>
        <v>2.8.0</v>
      </c>
      <c r="J641" s="7"/>
      <c r="K641" s="7"/>
      <c r="L641" s="18"/>
    </row>
    <row r="642" spans="1:12" x14ac:dyDescent="0.25">
      <c r="A642" s="1365"/>
      <c r="B642" s="9" t="s">
        <v>189</v>
      </c>
      <c r="C642" s="440">
        <f>ROUND(AVERAGE(C639,E639,G639),$H$162)</f>
        <v>6</v>
      </c>
      <c r="D642" s="1347" t="s">
        <v>297</v>
      </c>
      <c r="E642" s="9"/>
      <c r="F642" s="7"/>
      <c r="G642" s="7"/>
      <c r="H642" s="9" t="s">
        <v>177</v>
      </c>
      <c r="I642" s="416">
        <f>IF('RAPPORTO ISPEZIONE'!J227&lt;&gt;"",'RAPPORTO ISPEZIONE'!J227,"")</f>
        <v>1.6000000000000001E-3</v>
      </c>
      <c r="J642" s="302"/>
      <c r="K642" s="417">
        <f>IF(AND(I642="",J642=""),"",IF(I642="",J642,I642))</f>
        <v>1.6000000000000001E-3</v>
      </c>
      <c r="L642" s="33" t="s">
        <v>191</v>
      </c>
    </row>
    <row r="643" spans="1:12" x14ac:dyDescent="0.25">
      <c r="A643" s="1365"/>
      <c r="B643" s="6" t="s">
        <v>332</v>
      </c>
      <c r="C643" s="441">
        <f>IF($O$141="X",IF($H$161="X",IF(C645="X",C642/$O$152,IF(E645="X",C639/$O$152,IF(G645="X",E639/$O$152,IF(I645="X",G639/$O$152,"ERRORE")))),IF($H$158="X",IF(C645="X",C642/$O$149,IF(E645="X",C639/$O$149,IF(G645="X",E639/$O$149,IF(I645="X",G639/$O$149,"ERRORE")))))),"NON SERVE")</f>
        <v>1.2</v>
      </c>
      <c r="D643" s="1348"/>
      <c r="E643" s="9"/>
      <c r="F643" s="7"/>
      <c r="G643" s="7"/>
      <c r="H643" s="9" t="s">
        <v>178</v>
      </c>
      <c r="I643" s="416">
        <f>IF('RAPPORTO ISPEZIONE'!K227&lt;&gt;"",'RAPPORTO ISPEZIONE'!K227,"")</f>
        <v>1.6000000000000001E-3</v>
      </c>
      <c r="J643" s="302"/>
      <c r="K643" s="417">
        <f>IF(AND(I643="",J643=""),"",IF(I643="",J643,I643))</f>
        <v>1.6000000000000001E-3</v>
      </c>
      <c r="L643" s="420">
        <f>ROUND(AVERAGE(K642,K643,K644),$H$164+2)</f>
        <v>1.6000000000000001E-3</v>
      </c>
    </row>
    <row r="644" spans="1:12" x14ac:dyDescent="0.25">
      <c r="A644" s="1366"/>
      <c r="B644" s="27" t="s">
        <v>333</v>
      </c>
      <c r="C644" s="442">
        <f>IF($O$159="X",IF($H$161="X",IF($O$162="X",IF(E644="F-N",C641/$O$171,C641/($O$171*SQRT(3))),IF($O$161="X",IF(E644="F-F",C641/$O$171,"ERRORE"),IF($O$160="X",C641/$O$171))),IF($O$159="X",IF($H$158="X",IF($O$162="X",IF(E644="F-N",C641/$O$167,C641/($O$167*SQRT(3))),IF($O$161="X",IF(E644="F-F",C641/$O$167,"ERRORE"),IF($O$160="X",C641/$O$167)))))))</f>
        <v>0.57700000000000007</v>
      </c>
      <c r="D644" s="1349"/>
      <c r="E644" s="353" t="str">
        <f>E629</f>
        <v>F-N</v>
      </c>
      <c r="F644" s="7"/>
      <c r="G644" s="7"/>
      <c r="H644" s="9" t="s">
        <v>179</v>
      </c>
      <c r="I644" s="416">
        <f>IF('RAPPORTO ISPEZIONE'!L227&lt;&gt;"",'RAPPORTO ISPEZIONE'!L227,"")</f>
        <v>1.6000000000000001E-3</v>
      </c>
      <c r="J644" s="302"/>
      <c r="K644" s="417">
        <f>IF(AND(I644="",J644=""),"",IF(I644="",J644,I644))</f>
        <v>1.6000000000000001E-3</v>
      </c>
      <c r="L644" s="33"/>
    </row>
    <row r="645" spans="1:12" x14ac:dyDescent="0.25">
      <c r="A645" s="422" t="s">
        <v>286</v>
      </c>
      <c r="B645" s="9" t="s">
        <v>282</v>
      </c>
      <c r="C645" s="12" t="str">
        <f>IF(OR($H$180="X",$H$183="X"),"X",IF($H$186="X",""))</f>
        <v>X</v>
      </c>
      <c r="D645" s="9" t="s">
        <v>283</v>
      </c>
      <c r="E645" s="12" t="str">
        <f>IF(OR($H$180="X",$H$183="X"),"",IF($H$186="X","X"))</f>
        <v/>
      </c>
      <c r="F645" s="26" t="s">
        <v>284</v>
      </c>
      <c r="G645" s="12" t="str">
        <f>IF(OR($H$180="X",$H$183="X"),"",IF($H$186="X",""))</f>
        <v/>
      </c>
      <c r="H645" s="28" t="s">
        <v>285</v>
      </c>
      <c r="I645" s="12" t="str">
        <f>IF(OR($H$180="X",$H$183="X"),"",IF($H$186="X",""))</f>
        <v/>
      </c>
      <c r="J645" s="7"/>
      <c r="K645" s="7"/>
      <c r="L645" s="423" t="str">
        <f>IF(B633="X",IF((IF(C645="X",1,0)+IF(E645="X",1,0)+IF(G645="X",1,0)+IF(I645="X",1,0))&lt;&gt;1,"ERRORE",""),"")</f>
        <v/>
      </c>
    </row>
    <row r="646" spans="1:12" x14ac:dyDescent="0.25">
      <c r="A646" s="424"/>
      <c r="B646" s="7"/>
      <c r="C646" s="7"/>
      <c r="D646" s="7"/>
      <c r="E646" s="7"/>
      <c r="F646" s="7"/>
      <c r="G646" s="7"/>
      <c r="H646" s="7"/>
      <c r="I646" s="5"/>
      <c r="J646" s="5"/>
      <c r="K646" s="7"/>
      <c r="L646" s="18"/>
    </row>
    <row r="647" spans="1:12" x14ac:dyDescent="0.25">
      <c r="A647" s="424"/>
      <c r="B647" s="7"/>
      <c r="C647" s="7"/>
      <c r="D647" s="7"/>
      <c r="E647" s="7"/>
      <c r="F647" s="7"/>
      <c r="G647" s="7"/>
      <c r="H647" s="7"/>
      <c r="I647" s="7"/>
      <c r="J647" s="7"/>
      <c r="K647" s="7"/>
      <c r="L647" s="18"/>
    </row>
    <row r="648" spans="1:12" x14ac:dyDescent="0.25">
      <c r="A648" s="411" t="s">
        <v>563</v>
      </c>
      <c r="B648" s="289" t="s">
        <v>1230</v>
      </c>
      <c r="C648" s="434" t="s">
        <v>730</v>
      </c>
      <c r="D648" s="7"/>
      <c r="E648" s="7"/>
      <c r="F648" s="7"/>
      <c r="G648" s="7"/>
      <c r="H648" s="7"/>
      <c r="I648" s="7"/>
      <c r="J648" s="7"/>
      <c r="K648" s="7"/>
      <c r="L648" s="18"/>
    </row>
    <row r="649" spans="1:12" x14ac:dyDescent="0.25">
      <c r="A649" s="1367" t="s">
        <v>166</v>
      </c>
      <c r="B649" s="1363" t="s">
        <v>167</v>
      </c>
      <c r="C649" s="9"/>
      <c r="D649" s="1363" t="s">
        <v>168</v>
      </c>
      <c r="E649" s="9"/>
      <c r="F649" s="1363" t="s">
        <v>169</v>
      </c>
      <c r="G649" s="9"/>
      <c r="H649" s="1363" t="s">
        <v>174</v>
      </c>
      <c r="I649" s="9"/>
      <c r="J649" s="7"/>
      <c r="K649" s="7"/>
      <c r="L649" s="18"/>
    </row>
    <row r="650" spans="1:12" x14ac:dyDescent="0.25">
      <c r="A650" s="1367"/>
      <c r="B650" s="1363"/>
      <c r="C650" s="439"/>
      <c r="D650" s="1363"/>
      <c r="E650" s="439"/>
      <c r="F650" s="1363"/>
      <c r="G650" s="439"/>
      <c r="H650" s="1363"/>
      <c r="I650" s="12"/>
      <c r="J650" s="7"/>
      <c r="K650" s="7"/>
      <c r="L650" s="18"/>
    </row>
    <row r="651" spans="1:12" x14ac:dyDescent="0.25">
      <c r="A651" s="1367"/>
      <c r="B651" s="1363"/>
      <c r="C651" s="439">
        <f>C636</f>
        <v>57.7</v>
      </c>
      <c r="D651" s="1363"/>
      <c r="E651" s="439">
        <f>E636</f>
        <v>57.7</v>
      </c>
      <c r="F651" s="1363"/>
      <c r="G651" s="439">
        <f>G636</f>
        <v>57.7</v>
      </c>
      <c r="H651" s="1363"/>
      <c r="I651" s="12">
        <v>0.5</v>
      </c>
      <c r="J651" s="7"/>
      <c r="K651" s="7"/>
      <c r="L651" s="18"/>
    </row>
    <row r="652" spans="1:12" x14ac:dyDescent="0.25">
      <c r="A652" s="1367" t="s">
        <v>170</v>
      </c>
      <c r="B652" s="1363" t="s">
        <v>171</v>
      </c>
      <c r="C652" s="9"/>
      <c r="D652" s="1363" t="s">
        <v>172</v>
      </c>
      <c r="E652" s="9"/>
      <c r="F652" s="1363" t="s">
        <v>173</v>
      </c>
      <c r="G652" s="9"/>
      <c r="H652" s="1363" t="s">
        <v>175</v>
      </c>
      <c r="I652" s="9"/>
      <c r="J652" s="7"/>
      <c r="K652" s="7"/>
      <c r="L652" s="18"/>
    </row>
    <row r="653" spans="1:12" x14ac:dyDescent="0.25">
      <c r="A653" s="1367"/>
      <c r="B653" s="1363"/>
      <c r="C653" s="2"/>
      <c r="D653" s="1363"/>
      <c r="E653" s="2"/>
      <c r="F653" s="1363"/>
      <c r="G653" s="2"/>
      <c r="H653" s="1363"/>
      <c r="I653" s="12"/>
      <c r="J653" s="7"/>
      <c r="K653" s="7"/>
      <c r="L653" s="18"/>
    </row>
    <row r="654" spans="1:12" x14ac:dyDescent="0.25">
      <c r="A654" s="1367"/>
      <c r="B654" s="1363"/>
      <c r="C654" s="2">
        <f>C639</f>
        <v>6</v>
      </c>
      <c r="D654" s="1363"/>
      <c r="E654" s="2">
        <f>C654</f>
        <v>6</v>
      </c>
      <c r="F654" s="1363"/>
      <c r="G654" s="2">
        <f>C654</f>
        <v>6</v>
      </c>
      <c r="H654" s="1363"/>
      <c r="I654" s="12" t="s">
        <v>185</v>
      </c>
      <c r="J654" s="7"/>
      <c r="K654" s="7"/>
      <c r="L654" s="18"/>
    </row>
    <row r="655" spans="1:12" ht="18" x14ac:dyDescent="0.35">
      <c r="A655" s="1364" t="s">
        <v>8</v>
      </c>
      <c r="B655" s="347" t="s">
        <v>345</v>
      </c>
      <c r="C655" s="435"/>
      <c r="D655" s="436"/>
      <c r="E655" s="2" t="str">
        <f>IF(OR($H$189="A",$H$189="B",$H$189="C"),IF(OR($H$180="X",$H$183="X"),IF(C660="X",IF($H$146="X",(IF($H$161="X",(IF(AND(C657&lt;$H$194,C657&gt;=$H$193),"SI","NO")),(IF($H$158="X",IF(AND((C657*$O$152/$O$149)&lt;$H$194,(C657*$O$152/$O$149)&gt;=$H$193),"SI","NO"),"ERRORE")))),IF($H$143="X",IF($H$158="X",(IF(AND(C657&lt;$H$194,C657&gt;=$H$193),"SI","NO")),"ERRORE"),"ERRORE")),"NON SERVE"),IF($H$186="X",IF($H$146="X",(IF($H$161="X",(IF(AND(MAX(C654,E654,G654,)&lt;$H$194,MAX(C654,E654,G654)&gt;=$H$193),"SI","NO")),(IF($H$158="X",IF(AND((MAX(C654,E654,G654)*$O$152/$O$149)&lt;$H$194,(MAX(C654,E654,G654)*$O$152/$O$149)&gt;=$H$193),"SI","NO"),"ERRORE")))),IF($H$143="X",IF($H$158="X",(IF(AND(MAX(C654,E654,G654)&lt;$H$194,MAX(C654,E654,G654)&gt;=$H$193),"SI","NO")),"ERRORE"),"ERRORE")))),"NON SERVE")</f>
        <v>NO</v>
      </c>
      <c r="F655" s="347" t="s">
        <v>322</v>
      </c>
      <c r="G655" s="4"/>
      <c r="H655" s="4"/>
      <c r="I655" s="2" t="str">
        <f>IF($H$189="0,2S",IF(OR($H$180="X",$H$183="X"),IF(C660="X",IF($H$146="X",(IF($H$161="X",(IF(AND(C657&lt;0.1*$H$192,C657&gt;=$H$193),"SI","NO")),(IF($H$158="X",IF(AND((C657*$O$152/$O$149)&lt;0.1*$H$192,(C657*$O$152/$O$149)&gt;=$H$193),"SI","NO"),"ERRORE")))),IF($H$143="X",IF($H$158="X",(IF(AND(C657&lt;0.1*$H$192,C657&gt;=$H$193),"SI","NO")),"ERRORE"),"ERRORE")),"NON SERVE"),IF($H$186="X",IF($H$146="X",(IF($H$161="X",(IF(AND(MAX(C654,E654,G654,)&lt;0.1*$H$192,MAX(C654,E654,G654)&gt;=$H$193),"SI","NO")),(IF($H$158="X",IF(AND((MAX(C654,E654,G654)*$O$152/$O$149)&lt;0.1*$H$192,(MAX(C654,E654,G654)*$O$152/$O$149)&gt;=$H$193),"SI","NO"),"ERRORE")))),IF($H$143="X",IF($H$158="X",(IF(AND(MAX(C654,E654,G654)&lt;0.1*$H$192,MAX(C654,E654,G654)&gt;=$H$193),"SI","NO")),"ERRORE"),"ERRORE")))),"NON SERVE")</f>
        <v>NON SERVE</v>
      </c>
      <c r="J655" s="7"/>
      <c r="K655" s="7"/>
      <c r="L655" s="18"/>
    </row>
    <row r="656" spans="1:12" x14ac:dyDescent="0.25">
      <c r="A656" s="1365"/>
      <c r="B656" s="9" t="s">
        <v>188</v>
      </c>
      <c r="C656" s="9">
        <f>ROUND(AVERAGE(C651,E651,G651),$H$163)</f>
        <v>57.7</v>
      </c>
      <c r="D656" s="9"/>
      <c r="E656" s="9"/>
      <c r="F656" s="351" t="s">
        <v>550</v>
      </c>
      <c r="G656" s="12" t="str">
        <f>G641</f>
        <v>A-</v>
      </c>
      <c r="H656" s="124" t="s">
        <v>238</v>
      </c>
      <c r="I656" s="12" t="str">
        <f>I641</f>
        <v>2.8.0</v>
      </c>
      <c r="J656" s="7"/>
      <c r="K656" s="7"/>
      <c r="L656" s="18"/>
    </row>
    <row r="657" spans="1:12" x14ac:dyDescent="0.25">
      <c r="A657" s="1365"/>
      <c r="B657" s="9" t="s">
        <v>189</v>
      </c>
      <c r="C657" s="440">
        <f>ROUND(AVERAGE(C654,E654,G654),$H$162)</f>
        <v>6</v>
      </c>
      <c r="D657" s="1347" t="s">
        <v>297</v>
      </c>
      <c r="E657" s="9"/>
      <c r="F657" s="7"/>
      <c r="G657" s="7"/>
      <c r="H657" s="9" t="s">
        <v>177</v>
      </c>
      <c r="I657" s="416">
        <f>IF('RAPPORTO ISPEZIONE'!J228&lt;&gt;"",'RAPPORTO ISPEZIONE'!J228,"")</f>
        <v>1.6999999999999999E-3</v>
      </c>
      <c r="J657" s="302"/>
      <c r="K657" s="417">
        <f>IF(AND(I657="",J657=""),"",IF(I657="",J657,I657))</f>
        <v>1.6999999999999999E-3</v>
      </c>
      <c r="L657" s="33" t="s">
        <v>191</v>
      </c>
    </row>
    <row r="658" spans="1:12" x14ac:dyDescent="0.25">
      <c r="A658" s="1365"/>
      <c r="B658" s="6" t="s">
        <v>332</v>
      </c>
      <c r="C658" s="441">
        <f>IF($O$141="X",IF($H$161="X",IF(C660="X",C657/$O$152,IF(E660="X",C654/$O$152,IF(G660="X",E654/$O$152,IF(I660="X",G654/$O$152,"ERRORE")))),IF($H$158="X",IF(C660="X",C657/$O$149,IF(E660="X",C654/$O$149,IF(G660="X",E654/$O$149,IF(I660="X",G654/$O$149,"ERRORE")))))),"NON SERVE")</f>
        <v>1.2</v>
      </c>
      <c r="D658" s="1348"/>
      <c r="E658" s="9"/>
      <c r="F658" s="7"/>
      <c r="G658" s="7"/>
      <c r="H658" s="9" t="s">
        <v>178</v>
      </c>
      <c r="I658" s="416">
        <f>IF('RAPPORTO ISPEZIONE'!K228&lt;&gt;"",'RAPPORTO ISPEZIONE'!K228,"")</f>
        <v>1.6999999999999999E-3</v>
      </c>
      <c r="J658" s="302"/>
      <c r="K658" s="417">
        <f>IF(AND(I658="",J658=""),"",IF(I658="",J658,I658))</f>
        <v>1.6999999999999999E-3</v>
      </c>
      <c r="L658" s="420">
        <f>ROUND(AVERAGE(K657,K658,K659),$H$164+2)</f>
        <v>1.6999999999999999E-3</v>
      </c>
    </row>
    <row r="659" spans="1:12" x14ac:dyDescent="0.25">
      <c r="A659" s="1366"/>
      <c r="B659" s="27" t="s">
        <v>333</v>
      </c>
      <c r="C659" s="442">
        <f>IF($O$159="X",IF($H$161="X",IF($O$162="X",IF(E659="F-N",C656/$O$171,C656/($O$171*SQRT(3))),IF($O$161="X",IF(E659="F-F",C656/$O$171,"ERRORE"),IF($O$160="X",C656/$O$171))),IF($O$159="X",IF($H$158="X",IF($O$162="X",IF(E659="F-N",C656/$O$167,C656/($O$167*SQRT(3))),IF($O$161="X",IF(E659="F-F",C656/$O$167,"ERRORE"),IF($O$160="X",C656/$O$167)))))))</f>
        <v>0.57700000000000007</v>
      </c>
      <c r="D659" s="1349"/>
      <c r="E659" s="353" t="str">
        <f>E644</f>
        <v>F-N</v>
      </c>
      <c r="F659" s="7"/>
      <c r="G659" s="7"/>
      <c r="H659" s="9" t="s">
        <v>179</v>
      </c>
      <c r="I659" s="416">
        <f>IF('RAPPORTO ISPEZIONE'!L228&lt;&gt;"",'RAPPORTO ISPEZIONE'!L228,"")</f>
        <v>1.6999999999999999E-3</v>
      </c>
      <c r="J659" s="302"/>
      <c r="K659" s="417">
        <f>IF(AND(I659="",J659=""),"",IF(I659="",J659,I659))</f>
        <v>1.6999999999999999E-3</v>
      </c>
      <c r="L659" s="33"/>
    </row>
    <row r="660" spans="1:12" x14ac:dyDescent="0.25">
      <c r="A660" s="422" t="s">
        <v>286</v>
      </c>
      <c r="B660" s="9" t="s">
        <v>282</v>
      </c>
      <c r="C660" s="12" t="str">
        <f>IF(OR($H$180="X",$H$183="X"),"X",IF($H$186="X",""))</f>
        <v>X</v>
      </c>
      <c r="D660" s="9" t="s">
        <v>283</v>
      </c>
      <c r="E660" s="12" t="str">
        <f>IF(OR($H$180="X",$H$183="X"),"",IF($H$186="X","X"))</f>
        <v/>
      </c>
      <c r="F660" s="26" t="s">
        <v>284</v>
      </c>
      <c r="G660" s="12" t="str">
        <f>IF(OR($H$180="X",$H$183="X"),"",IF($H$186="X",""))</f>
        <v/>
      </c>
      <c r="H660" s="28" t="s">
        <v>285</v>
      </c>
      <c r="I660" s="12" t="str">
        <f>IF(OR($H$180="X",$H$183="X"),"",IF($H$186="X",""))</f>
        <v/>
      </c>
      <c r="J660" s="7"/>
      <c r="K660" s="7"/>
      <c r="L660" s="423" t="str">
        <f>IF(B648="X",IF((IF(C660="X",1,0)+IF(E660="X",1,0)+IF(G660="X",1,0)+IF(I660="X",1,0))&lt;&gt;1,"ERRORE",""),"")</f>
        <v/>
      </c>
    </row>
    <row r="661" spans="1:12" x14ac:dyDescent="0.25">
      <c r="A661" s="424"/>
      <c r="B661" s="7"/>
      <c r="C661" s="7"/>
      <c r="D661" s="7"/>
      <c r="E661" s="7"/>
      <c r="F661" s="7"/>
      <c r="G661" s="7"/>
      <c r="H661" s="7"/>
      <c r="I661" s="5"/>
      <c r="J661" s="5"/>
      <c r="K661" s="7"/>
      <c r="L661" s="18"/>
    </row>
    <row r="662" spans="1:12" x14ac:dyDescent="0.25">
      <c r="A662" s="424"/>
      <c r="B662" s="7"/>
      <c r="C662" s="7"/>
      <c r="D662" s="7"/>
      <c r="E662" s="7"/>
      <c r="F662" s="7"/>
      <c r="G662" s="7"/>
      <c r="H662" s="7"/>
      <c r="I662" s="7"/>
      <c r="J662" s="7"/>
      <c r="K662" s="7"/>
      <c r="L662" s="18"/>
    </row>
    <row r="663" spans="1:12" x14ac:dyDescent="0.25">
      <c r="A663" s="411" t="s">
        <v>564</v>
      </c>
      <c r="B663" s="289" t="s">
        <v>1230</v>
      </c>
      <c r="C663" s="434" t="s">
        <v>732</v>
      </c>
      <c r="D663" s="7"/>
      <c r="E663" s="7"/>
      <c r="F663" s="7"/>
      <c r="G663" s="7"/>
      <c r="H663" s="7"/>
      <c r="I663" s="7"/>
      <c r="J663" s="7"/>
      <c r="K663" s="7"/>
      <c r="L663" s="18"/>
    </row>
    <row r="664" spans="1:12" x14ac:dyDescent="0.25">
      <c r="A664" s="1367" t="s">
        <v>166</v>
      </c>
      <c r="B664" s="1363" t="s">
        <v>167</v>
      </c>
      <c r="C664" s="9"/>
      <c r="D664" s="1363" t="s">
        <v>168</v>
      </c>
      <c r="E664" s="9"/>
      <c r="F664" s="1363" t="s">
        <v>169</v>
      </c>
      <c r="G664" s="9"/>
      <c r="H664" s="1363" t="s">
        <v>174</v>
      </c>
      <c r="I664" s="9"/>
      <c r="J664" s="7"/>
      <c r="K664" s="7"/>
      <c r="L664" s="18"/>
    </row>
    <row r="665" spans="1:12" x14ac:dyDescent="0.25">
      <c r="A665" s="1367"/>
      <c r="B665" s="1363"/>
      <c r="C665" s="439"/>
      <c r="D665" s="1363"/>
      <c r="E665" s="439"/>
      <c r="F665" s="1363"/>
      <c r="G665" s="439"/>
      <c r="H665" s="1363"/>
      <c r="I665" s="12"/>
      <c r="J665" s="7"/>
      <c r="K665" s="7"/>
      <c r="L665" s="18"/>
    </row>
    <row r="666" spans="1:12" x14ac:dyDescent="0.25">
      <c r="A666" s="1367"/>
      <c r="B666" s="1363"/>
      <c r="C666" s="439">
        <f>C651</f>
        <v>57.7</v>
      </c>
      <c r="D666" s="1363"/>
      <c r="E666" s="439">
        <f>E651</f>
        <v>57.7</v>
      </c>
      <c r="F666" s="1363"/>
      <c r="G666" s="439">
        <f>G651</f>
        <v>57.7</v>
      </c>
      <c r="H666" s="1363"/>
      <c r="I666" s="12">
        <v>1</v>
      </c>
      <c r="J666" s="7"/>
      <c r="K666" s="7"/>
      <c r="L666" s="18"/>
    </row>
    <row r="667" spans="1:12" x14ac:dyDescent="0.25">
      <c r="A667" s="1367" t="s">
        <v>170</v>
      </c>
      <c r="B667" s="1363" t="s">
        <v>171</v>
      </c>
      <c r="C667" s="383">
        <f>IF('RAPPORTO ISPEZIONE'!C229&lt;&gt;"",'RAPPORTO ISPEZIONE'!C229,"")</f>
        <v>5</v>
      </c>
      <c r="D667" s="1363" t="s">
        <v>172</v>
      </c>
      <c r="E667" s="9"/>
      <c r="F667" s="1363" t="s">
        <v>173</v>
      </c>
      <c r="G667" s="9"/>
      <c r="H667" s="1363" t="s">
        <v>175</v>
      </c>
      <c r="I667" s="9"/>
      <c r="J667" s="7"/>
      <c r="K667" s="7"/>
      <c r="L667" s="18"/>
    </row>
    <row r="668" spans="1:12" x14ac:dyDescent="0.25">
      <c r="A668" s="1367"/>
      <c r="B668" s="1363"/>
      <c r="C668" s="301"/>
      <c r="D668" s="1363"/>
      <c r="E668" s="2"/>
      <c r="F668" s="1363"/>
      <c r="G668" s="2"/>
      <c r="H668" s="1363"/>
      <c r="I668" s="12"/>
      <c r="J668" s="7"/>
      <c r="K668" s="7"/>
      <c r="L668" s="18"/>
    </row>
    <row r="669" spans="1:12" x14ac:dyDescent="0.25">
      <c r="A669" s="1367"/>
      <c r="B669" s="1363"/>
      <c r="C669" s="12">
        <f>IF(C667="",IF(C668="","",C668),C667)</f>
        <v>5</v>
      </c>
      <c r="D669" s="1363"/>
      <c r="E669" s="12"/>
      <c r="F669" s="1363"/>
      <c r="G669" s="12"/>
      <c r="H669" s="1363"/>
      <c r="I669" s="12" t="s">
        <v>185</v>
      </c>
      <c r="J669" s="7"/>
      <c r="K669" s="7"/>
      <c r="L669" s="18"/>
    </row>
    <row r="670" spans="1:12" ht="18" x14ac:dyDescent="0.35">
      <c r="A670" s="1364" t="s">
        <v>8</v>
      </c>
      <c r="B670" s="347" t="s">
        <v>345</v>
      </c>
      <c r="C670" s="435"/>
      <c r="D670" s="436"/>
      <c r="E670" s="2" t="str">
        <f>IF(OR($H$189="A",$H$189="B",$H$189="C"),IF(OR($H$180="X",$H$183="X"),IF(C675="X",IF($H$146="X",(IF($H$161="X",(IF(AND(C672&lt;$H$194,C672&gt;=$H$193),"SI","NO")),(IF($H$158="X",IF(AND((C672*$O$152/$O$149)&lt;$H$194,(C672*$O$152/$O$149)&gt;=$H$193),"SI","NO"),"ERRORE")))),IF($H$143="X",IF($H$158="X",(IF(AND(C672&lt;$H$194,C672&gt;=$H$193),"SI","NO")),"ERRORE"),"ERRORE")),"NON SERVE"),IF($H$186="X",IF($H$146="X",(IF($H$161="X",(IF(AND(MAX(C669,E669,G669,)&lt;$H$194,MAX(C669,E669,G669)&gt;=$H$193),"SI","NO")),(IF($H$158="X",IF(AND((MAX(C669,E669,G669)*$O$152/$O$149)&lt;$H$194,(MAX(C669,E669,G669)*$O$152/$O$149)&gt;=$H$193),"SI","NO"),"ERRORE")))),IF($H$143="X",IF($H$158="X",(IF(AND(MAX(C669,E669,G669)&lt;$H$194,MAX(C669,E669,G669)&gt;=$H$193),"SI","NO")),"ERRORE"),"ERRORE")))),"NON SERVE")</f>
        <v>NON SERVE</v>
      </c>
      <c r="F670" s="347" t="s">
        <v>322</v>
      </c>
      <c r="G670" s="4"/>
      <c r="H670" s="4"/>
      <c r="I670" s="2" t="str">
        <f>IF($H$189="0,2S",IF(OR($H$180="X",$H$183="X"),IF(C675="X",IF($H$146="X",(IF($H$161="X",(IF(AND(C672&lt;0.1*$H$192,C672&gt;=$H$193),"SI","NO")),(IF($H$158="X",IF(AND((C672*$O$152/$O$149)&lt;0.1*$H$192,(C672*$O$152/$O$149)&gt;=$H$193),"SI","NO"),"ERRORE")))),IF($H$143="X",IF($H$158="X",(IF(AND(C672&lt;0.1*$H$192,C672&gt;=$H$193),"SI","NO")),"ERRORE"),"ERRORE")),"NON SERVE"),IF($H$186="X",IF($H$146="X",(IF($H$161="X",(IF(AND(MAX(C669,E669,G669,)&lt;0.1*$H$192,MAX(C669,E669,G669)&gt;=$H$193),"SI","NO")),(IF($H$158="X",IF(AND((MAX(C669,E669,G669)*$O$152/$O$149)&lt;0.1*$H$192,(MAX(C669,E669,G669)*$O$152/$O$149)&gt;=$H$193),"SI","NO"),"ERRORE")))),IF($H$143="X",IF($H$158="X",(IF(AND(MAX(C669,E669,G669)&lt;0.1*$H$192,MAX(C669,E669,G669)&gt;=$H$193),"SI","NO")),"ERRORE"),"ERRORE")))),"NON SERVE")</f>
        <v>NON SERVE</v>
      </c>
      <c r="J670" s="7"/>
      <c r="K670" s="7"/>
      <c r="L670" s="18"/>
    </row>
    <row r="671" spans="1:12" x14ac:dyDescent="0.25">
      <c r="A671" s="1365"/>
      <c r="B671" s="9" t="s">
        <v>188</v>
      </c>
      <c r="C671" s="9">
        <f>ROUND(AVERAGE(C666,E666,G666),$H$163)</f>
        <v>57.7</v>
      </c>
      <c r="D671" s="9"/>
      <c r="E671" s="9"/>
      <c r="F671" s="353" t="s">
        <v>550</v>
      </c>
      <c r="G671" s="12" t="str">
        <f>G656</f>
        <v>A-</v>
      </c>
      <c r="H671" s="124" t="s">
        <v>238</v>
      </c>
      <c r="I671" s="353" t="str">
        <f>I656</f>
        <v>2.8.0</v>
      </c>
      <c r="J671" s="7"/>
      <c r="K671" s="7"/>
      <c r="L671" s="18"/>
    </row>
    <row r="672" spans="1:12" x14ac:dyDescent="0.25">
      <c r="A672" s="1365"/>
      <c r="B672" s="9" t="s">
        <v>189</v>
      </c>
      <c r="C672" s="440">
        <f>ROUND(AVERAGE(C669,E669,G669),$H$162)</f>
        <v>5</v>
      </c>
      <c r="D672" s="1347" t="s">
        <v>297</v>
      </c>
      <c r="E672" s="9"/>
      <c r="F672" s="7"/>
      <c r="G672" s="7"/>
      <c r="H672" s="9" t="s">
        <v>177</v>
      </c>
      <c r="I672" s="416">
        <f>IF('RAPPORTO ISPEZIONE'!J229&lt;&gt;"",'RAPPORTO ISPEZIONE'!J229,"")</f>
        <v>1.8E-3</v>
      </c>
      <c r="J672" s="302"/>
      <c r="K672" s="417">
        <f>IF(AND(I672="",J672=""),"",IF(I672="",J672,I672))</f>
        <v>1.8E-3</v>
      </c>
      <c r="L672" s="33" t="s">
        <v>191</v>
      </c>
    </row>
    <row r="673" spans="1:12" x14ac:dyDescent="0.25">
      <c r="A673" s="1365"/>
      <c r="B673" s="6" t="s">
        <v>332</v>
      </c>
      <c r="C673" s="441">
        <f>IF($O$141="X",IF($H$161="X",IF(C675="X",C672/$O$152,IF(E675="X",C669/$O$152,IF(G675="X",E669/$O$152,IF(I675="X",G669/$O$152,"ERRORE")))),IF($H$158="X",IF(C675="X",C672/$O$149,IF(E675="X",C669/$O$149,IF(G675="X",E669/$O$149,IF(I675="X",G669/$O$149,"ERRORE")))))),"NON SERVE")</f>
        <v>1</v>
      </c>
      <c r="D673" s="1348"/>
      <c r="E673" s="9"/>
      <c r="F673" s="7"/>
      <c r="G673" s="7"/>
      <c r="H673" s="9" t="s">
        <v>178</v>
      </c>
      <c r="I673" s="416">
        <f>IF('RAPPORTO ISPEZIONE'!K229&lt;&gt;"",'RAPPORTO ISPEZIONE'!K229,"")</f>
        <v>1.8E-3</v>
      </c>
      <c r="J673" s="302"/>
      <c r="K673" s="417">
        <f>IF(AND(I673="",J673=""),"",IF(I673="",J673,I673))</f>
        <v>1.8E-3</v>
      </c>
      <c r="L673" s="420">
        <f>ROUND(AVERAGE(K672,K673,K674),$H$164+2)</f>
        <v>1.8E-3</v>
      </c>
    </row>
    <row r="674" spans="1:12" x14ac:dyDescent="0.25">
      <c r="A674" s="1366"/>
      <c r="B674" s="27" t="s">
        <v>333</v>
      </c>
      <c r="C674" s="442">
        <f>IF($O$159="X",IF($H$161="X",IF($O$162="X",IF(E674="F-N",C671/$O$171,C671/($O$171*SQRT(3))),IF($O$161="X",IF(E674="F-F",C671/$O$171,"ERRORE"),IF($O$160="X",C671/$O$171))),IF($O$159="X",IF($H$158="X",IF($O$162="X",IF(E674="F-N",C671/$O$167,C671/($O$167*SQRT(3))),IF($O$161="X",IF(E674="F-F",C671/$O$167,"ERRORE"),IF($O$160="X",C671/$O$167)))))))</f>
        <v>0.57700000000000007</v>
      </c>
      <c r="D674" s="1349"/>
      <c r="E674" s="353" t="str">
        <f>E659</f>
        <v>F-N</v>
      </c>
      <c r="F674" s="7"/>
      <c r="G674" s="7"/>
      <c r="H674" s="9" t="s">
        <v>179</v>
      </c>
      <c r="I674" s="416">
        <f>IF('RAPPORTO ISPEZIONE'!L229&lt;&gt;"",'RAPPORTO ISPEZIONE'!L229,"")</f>
        <v>1.8E-3</v>
      </c>
      <c r="J674" s="302"/>
      <c r="K674" s="417">
        <f>IF(AND(I674="",J674=""),"",IF(I674="",J674,I674))</f>
        <v>1.8E-3</v>
      </c>
      <c r="L674" s="33"/>
    </row>
    <row r="675" spans="1:12" x14ac:dyDescent="0.25">
      <c r="A675" s="422" t="s">
        <v>286</v>
      </c>
      <c r="B675" s="9" t="s">
        <v>282</v>
      </c>
      <c r="C675" s="12" t="str">
        <f>IF(OR($H$180="X",$H$183="X"),"",IF($H$186="X",""))</f>
        <v/>
      </c>
      <c r="D675" s="9" t="s">
        <v>283</v>
      </c>
      <c r="E675" s="12" t="str">
        <f>IF(OR($H$180="X",$H$183="X"),"X",IF($H$186="X",""))</f>
        <v>X</v>
      </c>
      <c r="F675" s="26" t="s">
        <v>284</v>
      </c>
      <c r="G675" s="12" t="str">
        <f>IF(OR($H$180="X",$H$183="X"),"",IF($H$186="X",""))</f>
        <v/>
      </c>
      <c r="H675" s="28" t="s">
        <v>285</v>
      </c>
      <c r="I675" s="12" t="str">
        <f>IF(OR($H$180="X",$H$183="X"),"",IF($H$186="X",""))</f>
        <v/>
      </c>
      <c r="J675" s="7"/>
      <c r="K675" s="7"/>
      <c r="L675" s="423" t="str">
        <f>IF(B663="X",IF((IF(C675="X",1,0)+IF(E675="X",1,0)+IF(G675="X",1,0)+IF(I675="X",1,0))&lt;&gt;1,"ERRORE",""),"")</f>
        <v/>
      </c>
    </row>
    <row r="676" spans="1:12" x14ac:dyDescent="0.25">
      <c r="A676" s="424"/>
      <c r="B676" s="7"/>
      <c r="C676" s="7"/>
      <c r="D676" s="7"/>
      <c r="E676" s="7"/>
      <c r="F676" s="7"/>
      <c r="G676" s="7"/>
      <c r="H676" s="7"/>
      <c r="I676" s="7"/>
      <c r="J676" s="5"/>
      <c r="K676" s="7"/>
      <c r="L676" s="18"/>
    </row>
    <row r="677" spans="1:12" x14ac:dyDescent="0.25">
      <c r="A677" s="424"/>
      <c r="B677" s="7"/>
      <c r="C677" s="7"/>
      <c r="D677" s="7"/>
      <c r="E677" s="7"/>
      <c r="F677" s="7"/>
      <c r="G677" s="7"/>
      <c r="H677" s="7"/>
      <c r="I677" s="7"/>
      <c r="J677" s="7"/>
      <c r="K677" s="7"/>
      <c r="L677" s="18"/>
    </row>
    <row r="678" spans="1:12" x14ac:dyDescent="0.25">
      <c r="A678" s="411" t="s">
        <v>565</v>
      </c>
      <c r="B678" s="289"/>
      <c r="C678" s="434" t="s">
        <v>733</v>
      </c>
      <c r="D678" s="7"/>
      <c r="E678" s="7"/>
      <c r="F678" s="7"/>
      <c r="G678" s="7"/>
      <c r="H678" s="7"/>
      <c r="I678" s="7"/>
      <c r="J678" s="7"/>
      <c r="K678" s="7"/>
      <c r="L678" s="18"/>
    </row>
    <row r="679" spans="1:12" x14ac:dyDescent="0.25">
      <c r="A679" s="1367" t="s">
        <v>166</v>
      </c>
      <c r="B679" s="1363" t="s">
        <v>167</v>
      </c>
      <c r="C679" s="9"/>
      <c r="D679" s="1363" t="s">
        <v>168</v>
      </c>
      <c r="E679" s="9"/>
      <c r="F679" s="1363" t="s">
        <v>169</v>
      </c>
      <c r="G679" s="9"/>
      <c r="H679" s="1363" t="s">
        <v>174</v>
      </c>
      <c r="I679" s="9"/>
      <c r="J679" s="7"/>
      <c r="K679" s="7"/>
      <c r="L679" s="18"/>
    </row>
    <row r="680" spans="1:12" x14ac:dyDescent="0.25">
      <c r="A680" s="1367"/>
      <c r="B680" s="1363"/>
      <c r="C680" s="439"/>
      <c r="D680" s="1363"/>
      <c r="E680" s="439"/>
      <c r="F680" s="1363"/>
      <c r="G680" s="439"/>
      <c r="H680" s="1363"/>
      <c r="I680" s="12"/>
      <c r="J680" s="7"/>
      <c r="K680" s="7"/>
      <c r="L680" s="18"/>
    </row>
    <row r="681" spans="1:12" x14ac:dyDescent="0.25">
      <c r="A681" s="1367"/>
      <c r="B681" s="1363"/>
      <c r="C681" s="439">
        <f>C666</f>
        <v>57.7</v>
      </c>
      <c r="D681" s="1363"/>
      <c r="E681" s="439">
        <f>E666</f>
        <v>57.7</v>
      </c>
      <c r="F681" s="1363"/>
      <c r="G681" s="439">
        <f>G666</f>
        <v>57.7</v>
      </c>
      <c r="H681" s="1363"/>
      <c r="I681" s="12">
        <v>1</v>
      </c>
      <c r="J681" s="7"/>
      <c r="K681" s="7"/>
      <c r="L681" s="18"/>
    </row>
    <row r="682" spans="1:12" x14ac:dyDescent="0.25">
      <c r="A682" s="1367" t="s">
        <v>170</v>
      </c>
      <c r="B682" s="1363" t="s">
        <v>171</v>
      </c>
      <c r="C682" s="9"/>
      <c r="D682" s="1363" t="s">
        <v>172</v>
      </c>
      <c r="E682" s="383" t="str">
        <f>IF('RAPPORTO ISPEZIONE'!C230&lt;&gt;"",'RAPPORTO ISPEZIONE'!C230,"")</f>
        <v/>
      </c>
      <c r="F682" s="1363" t="s">
        <v>173</v>
      </c>
      <c r="G682" s="9"/>
      <c r="H682" s="1363" t="s">
        <v>175</v>
      </c>
      <c r="I682" s="9"/>
      <c r="J682" s="7"/>
      <c r="K682" s="7"/>
      <c r="L682" s="18"/>
    </row>
    <row r="683" spans="1:12" x14ac:dyDescent="0.25">
      <c r="A683" s="1367"/>
      <c r="B683" s="1363"/>
      <c r="C683" s="2"/>
      <c r="D683" s="1363"/>
      <c r="E683" s="301"/>
      <c r="F683" s="1363"/>
      <c r="G683" s="2"/>
      <c r="H683" s="1363"/>
      <c r="I683" s="12"/>
      <c r="J683" s="7"/>
      <c r="K683" s="7"/>
      <c r="L683" s="18"/>
    </row>
    <row r="684" spans="1:12" x14ac:dyDescent="0.25">
      <c r="A684" s="1367"/>
      <c r="B684" s="1363"/>
      <c r="C684" s="12"/>
      <c r="D684" s="1363"/>
      <c r="E684" s="12" t="str">
        <f>IF(E682="",IF(E683="","",E683),E682)</f>
        <v/>
      </c>
      <c r="F684" s="1363"/>
      <c r="G684" s="12"/>
      <c r="H684" s="1363"/>
      <c r="I684" s="12" t="s">
        <v>185</v>
      </c>
      <c r="J684" s="7"/>
      <c r="K684" s="7"/>
      <c r="L684" s="18"/>
    </row>
    <row r="685" spans="1:12" ht="18" x14ac:dyDescent="0.35">
      <c r="A685" s="1364" t="s">
        <v>8</v>
      </c>
      <c r="B685" s="347" t="s">
        <v>345</v>
      </c>
      <c r="C685" s="4"/>
      <c r="D685" s="4"/>
      <c r="E685" s="2" t="str">
        <f>IF(OR($H$189="A",$H$189="B",$H$189="C"),IF(OR($H$180="X",$H$183="X"),IF(C690="X",IF($H$146="X",(IF($H$161="X",(IF(AND(C687&lt;$H$194,C687&gt;=$H$193),"SI","NO")),(IF($H$158="X",IF(AND((C687*$O$152/$O$149)&lt;$H$194,(C687*$O$152/$O$149)&gt;=$H$193),"SI","NO"),"ERRORE")))),IF($H$143="X",IF($H$158="X",(IF(AND(C687&lt;$H$194,C687&gt;=$H$193),"SI","NO")),"ERRORE"),"ERRORE")),"NON SERVE"),IF($H$186="X",IF($H$146="X",(IF($H$161="X",(IF(AND(MAX(C684,E684,G684,)&lt;$H$194,MAX(C684,E684,G684)&gt;=$H$193),"SI","NO")),(IF($H$158="X",IF(AND((MAX(C684,E684,G684)*$O$152/$O$149)&lt;$H$194,(MAX(C684,E684,G684)*$O$152/$O$149)&gt;=$H$193),"SI","NO"),"ERRORE")))),IF($H$143="X",IF($H$158="X",(IF(AND(MAX(C684,E684,G684)&lt;$H$194,MAX(C684,E684,G684)&gt;=$H$193),"SI","NO")),"ERRORE"),"ERRORE")))),"NON SERVE")</f>
        <v>NON SERVE</v>
      </c>
      <c r="F685" s="347" t="s">
        <v>322</v>
      </c>
      <c r="G685" s="4"/>
      <c r="H685" s="4"/>
      <c r="I685" s="2" t="str">
        <f>IF($H$189="0,2S",IF(OR($H$180="X",$H$183="X"),IF(C690="X",IF($H$146="X",(IF($H$161="X",(IF(AND(C687&lt;0.1*$H$192,C687&gt;=$H$193),"SI","NO")),(IF($H$158="X",IF(AND((C687*$O$152/$O$149)&lt;0.1*$H$192,(C687*$O$152/$O$149)&gt;=$H$193),"SI","NO"),"ERRORE")))),IF($H$143="X",IF($H$158="X",(IF(AND(C687&lt;0.1*$H$192,C687&gt;=$H$193),"SI","NO")),"ERRORE"),"ERRORE")),"NON SERVE"),IF($H$186="X",IF($H$146="X",(IF($H$161="X",(IF(AND(MAX(C684,E684,G684,)&lt;0.1*$H$192,MAX(C684,E684,G684)&gt;=$H$193),"SI","NO")),(IF($H$158="X",IF(AND((MAX(C684,E684,G684)*$O$152/$O$149)&lt;0.1*$H$192,(MAX(C684,E684,G684)*$O$152/$O$149)&gt;=$H$193),"SI","NO"),"ERRORE")))),IF($H$143="X",IF($H$158="X",(IF(AND(MAX(C684,E684,G684)&lt;0.1*$H$192,MAX(C684,E684,G684)&gt;=$H$193),"SI","NO")),"ERRORE"),"ERRORE")))),"NON SERVE")</f>
        <v>NON SERVE</v>
      </c>
      <c r="J685" s="7"/>
      <c r="K685" s="7"/>
      <c r="L685" s="18"/>
    </row>
    <row r="686" spans="1:12" x14ac:dyDescent="0.25">
      <c r="A686" s="1365"/>
      <c r="B686" s="9" t="s">
        <v>188</v>
      </c>
      <c r="C686" s="9">
        <f>ROUND(AVERAGE(C681,E681,G681),$H$163)</f>
        <v>57.7</v>
      </c>
      <c r="D686" s="9"/>
      <c r="E686" s="9"/>
      <c r="F686" s="353" t="s">
        <v>550</v>
      </c>
      <c r="G686" s="12" t="str">
        <f>G671</f>
        <v>A-</v>
      </c>
      <c r="H686" s="124" t="s">
        <v>238</v>
      </c>
      <c r="I686" s="353" t="str">
        <f>I671</f>
        <v>2.8.0</v>
      </c>
      <c r="J686" s="7"/>
      <c r="K686" s="7"/>
      <c r="L686" s="18"/>
    </row>
    <row r="687" spans="1:12" x14ac:dyDescent="0.25">
      <c r="A687" s="1365"/>
      <c r="B687" s="9" t="s">
        <v>189</v>
      </c>
      <c r="C687" s="440" t="e">
        <f>ROUND(AVERAGE(C684,E684,G684),$H$162)</f>
        <v>#DIV/0!</v>
      </c>
      <c r="D687" s="1347" t="s">
        <v>297</v>
      </c>
      <c r="E687" s="9"/>
      <c r="F687" s="7"/>
      <c r="G687" s="7"/>
      <c r="H687" s="9" t="s">
        <v>177</v>
      </c>
      <c r="I687" s="416" t="str">
        <f>IF('RAPPORTO ISPEZIONE'!J230&lt;&gt;"",'RAPPORTO ISPEZIONE'!J230,"")</f>
        <v/>
      </c>
      <c r="J687" s="302"/>
      <c r="K687" s="417" t="str">
        <f>IF(AND(I687="",J687=""),"",IF(I687="",J687,I687))</f>
        <v/>
      </c>
      <c r="L687" s="33" t="s">
        <v>191</v>
      </c>
    </row>
    <row r="688" spans="1:12" x14ac:dyDescent="0.25">
      <c r="A688" s="1365"/>
      <c r="B688" s="6" t="s">
        <v>332</v>
      </c>
      <c r="C688" s="441" t="e">
        <f>IF($O$141="X",IF($H$161="X",IF(C690="X",C687/$O$152,IF(E690="X",C684/$O$152,IF(G690="X",E684/$O$152,IF(I690="X",G684/$O$152,"ERRORE")))),IF($H$158="X",IF(C690="X",C687/$O$149,IF(E690="X",C684/$O$149,IF(G690="X",E684/$O$149,IF(I690="X",G684/$O$149,"ERRORE")))))),"NON SERVE")</f>
        <v>#VALUE!</v>
      </c>
      <c r="D688" s="1348"/>
      <c r="E688" s="9"/>
      <c r="F688" s="7"/>
      <c r="G688" s="7"/>
      <c r="H688" s="9" t="s">
        <v>178</v>
      </c>
      <c r="I688" s="416" t="str">
        <f>IF('RAPPORTO ISPEZIONE'!K230&lt;&gt;"",'RAPPORTO ISPEZIONE'!K230,"")</f>
        <v/>
      </c>
      <c r="J688" s="302"/>
      <c r="K688" s="417" t="str">
        <f>IF(AND(I688="",J688=""),"",IF(I688="",J688,I688))</f>
        <v/>
      </c>
      <c r="L688" s="420" t="e">
        <f>ROUND(AVERAGE(K687,K688,K689),$H$164+2)</f>
        <v>#DIV/0!</v>
      </c>
    </row>
    <row r="689" spans="1:12" x14ac:dyDescent="0.25">
      <c r="A689" s="1366"/>
      <c r="B689" s="27" t="s">
        <v>333</v>
      </c>
      <c r="C689" s="442">
        <f>IF($O$159="X",IF($H$161="X",IF($O$162="X",IF(E689="F-N",C686/$O$171,C686/($O$171*SQRT(3))),IF($O$161="X",IF(E689="F-F",C686/$O$171,"ERRORE"),IF($O$160="X",C686/$O$171))),IF($O$159="X",IF($H$158="X",IF($O$162="X",IF(E689="F-N",C686/$O$167,C686/($O$167*SQRT(3))),IF($O$161="X",IF(E689="F-F",C686/$O$167,"ERRORE"),IF($O$160="X",C686/$O$167)))))))</f>
        <v>0.57700000000000007</v>
      </c>
      <c r="D689" s="1349"/>
      <c r="E689" s="353" t="str">
        <f>E674</f>
        <v>F-N</v>
      </c>
      <c r="F689" s="7"/>
      <c r="G689" s="7"/>
      <c r="H689" s="9" t="s">
        <v>179</v>
      </c>
      <c r="I689" s="416" t="str">
        <f>IF('RAPPORTO ISPEZIONE'!L230&lt;&gt;"",'RAPPORTO ISPEZIONE'!L230,"")</f>
        <v/>
      </c>
      <c r="J689" s="302"/>
      <c r="K689" s="417" t="str">
        <f>IF(AND(I689="",J689=""),"",IF(I689="",J689,I689))</f>
        <v/>
      </c>
      <c r="L689" s="33"/>
    </row>
    <row r="690" spans="1:12" x14ac:dyDescent="0.25">
      <c r="A690" s="422" t="s">
        <v>286</v>
      </c>
      <c r="B690" s="9" t="s">
        <v>282</v>
      </c>
      <c r="C690" s="12" t="str">
        <f>IF(OR($H$180="X",$H$183="X"),"",IF($H$186="X",""))</f>
        <v/>
      </c>
      <c r="D690" s="9" t="s">
        <v>283</v>
      </c>
      <c r="E690" s="12" t="str">
        <f>IF(OR($H$180="X",$H$183="X"),"",IF($H$186="X",""))</f>
        <v/>
      </c>
      <c r="F690" s="26" t="s">
        <v>284</v>
      </c>
      <c r="G690" s="12" t="str">
        <f>IF(OR($H$180="X",$H$183="X"),"X",IF($H$186="X",""))</f>
        <v>X</v>
      </c>
      <c r="H690" s="28" t="s">
        <v>285</v>
      </c>
      <c r="I690" s="12" t="str">
        <f>IF(OR($H$180="X",$H$183="X"),"",IF($H$186="X",""))</f>
        <v/>
      </c>
      <c r="J690" s="7"/>
      <c r="K690" s="7"/>
      <c r="L690" s="423" t="str">
        <f>IF(B678="X",IF((IF(C690="X",1,0)+IF(E690="X",1,0)+IF(G690="X",1,0)+IF(I690="X",1,0))&lt;&gt;1,"ERRORE",""),"")</f>
        <v/>
      </c>
    </row>
    <row r="691" spans="1:12" x14ac:dyDescent="0.25">
      <c r="A691" s="424"/>
      <c r="B691" s="7"/>
      <c r="C691" s="7"/>
      <c r="D691" s="7"/>
      <c r="E691" s="7"/>
      <c r="F691" s="7"/>
      <c r="G691" s="7"/>
      <c r="H691" s="7"/>
      <c r="I691" s="5"/>
      <c r="J691" s="5"/>
      <c r="K691" s="7"/>
      <c r="L691" s="18"/>
    </row>
    <row r="692" spans="1:12" x14ac:dyDescent="0.25">
      <c r="A692" s="424"/>
      <c r="B692" s="7"/>
      <c r="C692" s="7"/>
      <c r="D692" s="7"/>
      <c r="E692" s="7"/>
      <c r="F692" s="7"/>
      <c r="G692" s="7"/>
      <c r="H692" s="7"/>
      <c r="I692" s="7"/>
      <c r="J692" s="7"/>
      <c r="K692" s="7"/>
      <c r="L692" s="18"/>
    </row>
    <row r="693" spans="1:12" x14ac:dyDescent="0.25">
      <c r="A693" s="411" t="s">
        <v>566</v>
      </c>
      <c r="B693" s="289"/>
      <c r="C693" s="434" t="s">
        <v>734</v>
      </c>
      <c r="D693" s="7"/>
      <c r="E693" s="7"/>
      <c r="F693" s="7"/>
      <c r="G693" s="7"/>
      <c r="H693" s="7"/>
      <c r="I693" s="7"/>
      <c r="J693" s="7"/>
      <c r="K693" s="7"/>
      <c r="L693" s="18"/>
    </row>
    <row r="694" spans="1:12" x14ac:dyDescent="0.25">
      <c r="A694" s="1367" t="s">
        <v>166</v>
      </c>
      <c r="B694" s="1363" t="s">
        <v>167</v>
      </c>
      <c r="C694" s="9"/>
      <c r="D694" s="1363" t="s">
        <v>168</v>
      </c>
      <c r="E694" s="9"/>
      <c r="F694" s="1363" t="s">
        <v>169</v>
      </c>
      <c r="G694" s="9"/>
      <c r="H694" s="1363" t="s">
        <v>174</v>
      </c>
      <c r="I694" s="9"/>
      <c r="J694" s="7"/>
      <c r="K694" s="7"/>
      <c r="L694" s="18"/>
    </row>
    <row r="695" spans="1:12" x14ac:dyDescent="0.25">
      <c r="A695" s="1367"/>
      <c r="B695" s="1363"/>
      <c r="C695" s="439"/>
      <c r="D695" s="1363"/>
      <c r="E695" s="439"/>
      <c r="F695" s="1363"/>
      <c r="G695" s="439"/>
      <c r="H695" s="1363"/>
      <c r="I695" s="12"/>
      <c r="J695" s="7"/>
      <c r="K695" s="7"/>
      <c r="L695" s="18"/>
    </row>
    <row r="696" spans="1:12" x14ac:dyDescent="0.25">
      <c r="A696" s="1367"/>
      <c r="B696" s="1363"/>
      <c r="C696" s="439">
        <f>C681</f>
        <v>57.7</v>
      </c>
      <c r="D696" s="1363"/>
      <c r="E696" s="439">
        <f>E681</f>
        <v>57.7</v>
      </c>
      <c r="F696" s="1363"/>
      <c r="G696" s="439">
        <f>G681</f>
        <v>57.7</v>
      </c>
      <c r="H696" s="1363"/>
      <c r="I696" s="12">
        <v>1</v>
      </c>
      <c r="J696" s="7"/>
      <c r="K696" s="7"/>
      <c r="L696" s="18"/>
    </row>
    <row r="697" spans="1:12" x14ac:dyDescent="0.25">
      <c r="A697" s="1367" t="s">
        <v>170</v>
      </c>
      <c r="B697" s="1363" t="s">
        <v>171</v>
      </c>
      <c r="C697" s="9"/>
      <c r="D697" s="1363" t="s">
        <v>172</v>
      </c>
      <c r="E697" s="9"/>
      <c r="F697" s="1363" t="s">
        <v>173</v>
      </c>
      <c r="G697" s="383" t="str">
        <f>IF('RAPPORTO ISPEZIONE'!C231&lt;&gt;"",'RAPPORTO ISPEZIONE'!C231,"")</f>
        <v/>
      </c>
      <c r="H697" s="1363" t="s">
        <v>175</v>
      </c>
      <c r="I697" s="9"/>
      <c r="J697" s="7"/>
      <c r="K697" s="7"/>
      <c r="L697" s="18"/>
    </row>
    <row r="698" spans="1:12" x14ac:dyDescent="0.25">
      <c r="A698" s="1367"/>
      <c r="B698" s="1363"/>
      <c r="C698" s="2"/>
      <c r="D698" s="1363"/>
      <c r="E698" s="2"/>
      <c r="F698" s="1363"/>
      <c r="G698" s="301"/>
      <c r="H698" s="1363"/>
      <c r="I698" s="12"/>
      <c r="J698" s="7"/>
      <c r="K698" s="7"/>
      <c r="L698" s="18"/>
    </row>
    <row r="699" spans="1:12" x14ac:dyDescent="0.25">
      <c r="A699" s="1367"/>
      <c r="B699" s="1363"/>
      <c r="C699" s="12"/>
      <c r="D699" s="1363"/>
      <c r="E699" s="12"/>
      <c r="F699" s="1363"/>
      <c r="G699" s="12" t="str">
        <f>IF(G697="",IF(G698="","",G698),G697)</f>
        <v/>
      </c>
      <c r="H699" s="1363"/>
      <c r="I699" s="12" t="s">
        <v>185</v>
      </c>
      <c r="J699" s="7"/>
      <c r="K699" s="7"/>
      <c r="L699" s="18"/>
    </row>
    <row r="700" spans="1:12" ht="18" x14ac:dyDescent="0.35">
      <c r="A700" s="1364" t="s">
        <v>8</v>
      </c>
      <c r="B700" s="347" t="s">
        <v>345</v>
      </c>
      <c r="C700" s="4"/>
      <c r="D700" s="4"/>
      <c r="E700" s="2" t="str">
        <f>IF(OR($H$189="A",$H$189="B",$H$189="C"),IF(OR($H$180="X",$H$183="X"),IF(C705="X",IF($H$146="X",(IF($H$161="X",(IF(AND(C702&lt;$H$194,C702&gt;=$H$193),"SI","NO")),(IF($H$158="X",IF(AND((C702*$O$152/$O$149)&lt;$H$194,(C702*$O$152/$O$149)&gt;=$H$193),"SI","NO"),"ERRORE")))),IF($H$143="X",IF($H$158="X",(IF(AND(C702&lt;$H$194,C702&gt;=$H$193),"SI","NO")),"ERRORE"),"ERRORE")),"NON SERVE"),IF($H$186="X",IF($H$146="X",(IF($H$161="X",(IF(AND(MAX(C699,E699,G699,)&lt;$H$194,MAX(C699,E699,G699)&gt;=$H$193),"SI","NO")),(IF($H$158="X",IF(AND((MAX(C699,E699,G699)*$O$152/$O$149)&lt;$H$194,(MAX(C699,E699,G699)*$O$152/$O$149)&gt;=$H$193),"SI","NO"),"ERRORE")))),IF($H$143="X",IF($H$158="X",(IF(AND(MAX(C699,E699,G699)&lt;$H$194,MAX(C699,E699,G699)&gt;=$H$193),"SI","NO")),"ERRORE"),"ERRORE")))),"NON SERVE")</f>
        <v>NON SERVE</v>
      </c>
      <c r="F700" s="347" t="s">
        <v>322</v>
      </c>
      <c r="G700" s="4"/>
      <c r="H700" s="4"/>
      <c r="I700" s="2" t="str">
        <f>IF($H$189="0,2S",IF(OR($H$180="X",$H$183="X"),IF(C705="X",IF($H$146="X",(IF($H$161="X",(IF(AND(C702&lt;0.1*$H$192,C702&gt;=$H$193),"SI","NO")),(IF($H$158="X",IF(AND((C702*$O$152/$O$149)&lt;0.1*$H$192,(C702*$O$152/$O$149)&gt;=$H$193),"SI","NO"),"ERRORE")))),IF($H$143="X",IF($H$158="X",(IF(AND(C702&lt;0.1*$H$192,C702&gt;=$H$193),"SI","NO")),"ERRORE"),"ERRORE")),"NON SERVE"),IF($H$186="X",IF($H$146="X",(IF($H$161="X",(IF(AND(MAX(C699,E699,G699,)&lt;0.1*$H$192,MAX(C699,E699,G699)&gt;=$H$193),"SI","NO")),(IF($H$158="X",IF(AND((MAX(C699,E699,G699)*$O$152/$O$149)&lt;0.1*$H$192,(MAX(C699,E699,G699)*$O$152/$O$149)&gt;=$H$193),"SI","NO"),"ERRORE")))),IF($H$143="X",IF($H$158="X",(IF(AND(MAX(C699,E699,G699)&lt;0.1*$H$192,MAX(C699,E699,G699)&gt;=$H$193),"SI","NO")),"ERRORE"),"ERRORE")))),"NON SERVE")</f>
        <v>NON SERVE</v>
      </c>
      <c r="J700" s="7"/>
      <c r="K700" s="7"/>
      <c r="L700" s="18"/>
    </row>
    <row r="701" spans="1:12" x14ac:dyDescent="0.25">
      <c r="A701" s="1365"/>
      <c r="B701" s="9" t="s">
        <v>188</v>
      </c>
      <c r="C701" s="9">
        <f>ROUND(AVERAGE(C696,E696,G696),$H$163)</f>
        <v>57.7</v>
      </c>
      <c r="D701" s="9"/>
      <c r="E701" s="9"/>
      <c r="F701" s="353" t="s">
        <v>550</v>
      </c>
      <c r="G701" s="12" t="str">
        <f>G686</f>
        <v>A-</v>
      </c>
      <c r="H701" s="124" t="s">
        <v>238</v>
      </c>
      <c r="I701" s="353" t="str">
        <f>I686</f>
        <v>2.8.0</v>
      </c>
      <c r="J701" s="7"/>
      <c r="K701" s="7"/>
      <c r="L701" s="18"/>
    </row>
    <row r="702" spans="1:12" x14ac:dyDescent="0.25">
      <c r="A702" s="1365"/>
      <c r="B702" s="9" t="s">
        <v>189</v>
      </c>
      <c r="C702" s="440" t="e">
        <f>ROUND(AVERAGE(C699,E699,G699),$H$162)</f>
        <v>#DIV/0!</v>
      </c>
      <c r="D702" s="1347" t="s">
        <v>297</v>
      </c>
      <c r="E702" s="9"/>
      <c r="F702" s="7"/>
      <c r="G702" s="7"/>
      <c r="H702" s="9" t="s">
        <v>177</v>
      </c>
      <c r="I702" s="416" t="str">
        <f>IF('RAPPORTO ISPEZIONE'!J231&lt;&gt;"",'RAPPORTO ISPEZIONE'!J231,"")</f>
        <v/>
      </c>
      <c r="J702" s="302"/>
      <c r="K702" s="417" t="str">
        <f>IF(AND(I702="",J702=""),"",IF(I702="",J702,I702))</f>
        <v/>
      </c>
      <c r="L702" s="33" t="s">
        <v>191</v>
      </c>
    </row>
    <row r="703" spans="1:12" x14ac:dyDescent="0.25">
      <c r="A703" s="1365"/>
      <c r="B703" s="6" t="s">
        <v>332</v>
      </c>
      <c r="C703" s="441" t="e">
        <f>IF($O$141="X",IF($H$161="X",IF(C705="X",C702/$O$152,IF(E705="X",C699/$O$152,IF(G705="X",E699/$O$152,IF(I705="X",G699/$O$152,"ERRORE")))),IF($H$158="X",IF(C705="X",C702/$O$149,IF(E705="X",C699/$O$149,IF(G705="X",E699/$O$149,IF(I705="X",G699/$O$149,"ERRORE")))))),"NON SERVE")</f>
        <v>#VALUE!</v>
      </c>
      <c r="D703" s="1348"/>
      <c r="E703" s="9"/>
      <c r="F703" s="7"/>
      <c r="G703" s="7"/>
      <c r="H703" s="9" t="s">
        <v>178</v>
      </c>
      <c r="I703" s="416" t="str">
        <f>IF('RAPPORTO ISPEZIONE'!K231&lt;&gt;"",'RAPPORTO ISPEZIONE'!K231,"")</f>
        <v/>
      </c>
      <c r="J703" s="302"/>
      <c r="K703" s="417" t="str">
        <f>IF(AND(I703="",J703=""),"",IF(I703="",J703,I703))</f>
        <v/>
      </c>
      <c r="L703" s="420" t="e">
        <f>ROUND(AVERAGE(K702,K703,K704),$H$164+2)</f>
        <v>#DIV/0!</v>
      </c>
    </row>
    <row r="704" spans="1:12" x14ac:dyDescent="0.25">
      <c r="A704" s="1366"/>
      <c r="B704" s="27" t="s">
        <v>333</v>
      </c>
      <c r="C704" s="442">
        <f>IF($O$159="X",IF($H$161="X",IF($O$162="X",IF(E704="F-N",C701/$O$171,C701/($O$171*SQRT(3))),IF($O$161="X",IF(E704="F-F",C701/$O$171,"ERRORE"),IF($O$160="X",C701/$O$171))),IF($O$159="X",IF($H$158="X",IF($O$162="X",IF(E704="F-N",C701/$O$167,C701/($O$167*SQRT(3))),IF($O$161="X",IF(E704="F-F",C701/$O$167,"ERRORE"),IF($O$160="X",C701/$O$167)))))))</f>
        <v>0.57700000000000007</v>
      </c>
      <c r="D704" s="1349"/>
      <c r="E704" s="353" t="str">
        <f>E689</f>
        <v>F-N</v>
      </c>
      <c r="F704" s="7"/>
      <c r="G704" s="7"/>
      <c r="H704" s="9" t="s">
        <v>179</v>
      </c>
      <c r="I704" s="416" t="str">
        <f>IF('RAPPORTO ISPEZIONE'!L231&lt;&gt;"",'RAPPORTO ISPEZIONE'!L231,"")</f>
        <v/>
      </c>
      <c r="J704" s="302"/>
      <c r="K704" s="417" t="str">
        <f>IF(AND(I704="",J704=""),"",IF(I704="",J704,I704))</f>
        <v/>
      </c>
      <c r="L704" s="33"/>
    </row>
    <row r="705" spans="1:12" x14ac:dyDescent="0.25">
      <c r="A705" s="422" t="s">
        <v>286</v>
      </c>
      <c r="B705" s="9" t="s">
        <v>282</v>
      </c>
      <c r="C705" s="12" t="str">
        <f>IF(OR($H$180="X",$H$183="X"),"",IF($H$186="X",""))</f>
        <v/>
      </c>
      <c r="D705" s="9" t="s">
        <v>283</v>
      </c>
      <c r="E705" s="12" t="str">
        <f>IF(OR($H$180="X",$H$183="X"),"",IF($H$186="X",""))</f>
        <v/>
      </c>
      <c r="F705" s="26" t="s">
        <v>284</v>
      </c>
      <c r="G705" s="12" t="str">
        <f>IF(OR($H$180="X",$H$183="X"),"",IF($H$186="X",""))</f>
        <v/>
      </c>
      <c r="H705" s="28" t="s">
        <v>285</v>
      </c>
      <c r="I705" s="12" t="str">
        <f>IF(OR($H$180="X",$H$183="X"),"X",IF($H$186="X",""))</f>
        <v>X</v>
      </c>
      <c r="J705" s="7"/>
      <c r="K705" s="7"/>
      <c r="L705" s="423" t="str">
        <f>IF(B693="X",IF((IF(C705="X",1,0)+IF(E705="X",1,0)+IF(G705="X",1,0)+IF(I705="X",1,0))&lt;&gt;1,"ERRORE",""),"")</f>
        <v/>
      </c>
    </row>
    <row r="706" spans="1:12" ht="15.75" thickBot="1" x14ac:dyDescent="0.3">
      <c r="A706" s="430"/>
      <c r="B706" s="431"/>
      <c r="C706" s="431"/>
      <c r="D706" s="431"/>
      <c r="E706" s="431"/>
      <c r="F706" s="431"/>
      <c r="G706" s="431"/>
      <c r="H706" s="431"/>
      <c r="I706" s="431"/>
      <c r="J706" s="431"/>
      <c r="K706" s="431"/>
      <c r="L706" s="432"/>
    </row>
    <row r="709" spans="1:12" ht="18.75" x14ac:dyDescent="0.3">
      <c r="A709" s="386" t="s">
        <v>753</v>
      </c>
      <c r="B709" s="15"/>
      <c r="C709" s="15"/>
      <c r="D709" s="15"/>
      <c r="E709" s="15"/>
      <c r="F709" s="15"/>
      <c r="G709" s="7"/>
      <c r="H709" s="309"/>
      <c r="J709" s="5"/>
    </row>
    <row r="710" spans="1:12" x14ac:dyDescent="0.25">
      <c r="A710" s="1444"/>
      <c r="B710" s="1444"/>
      <c r="C710" s="1444"/>
      <c r="D710" s="1444"/>
      <c r="E710" s="1444"/>
      <c r="F710" s="1444"/>
      <c r="G710" s="1444"/>
      <c r="H710" s="1444"/>
      <c r="I710" s="1444"/>
      <c r="J710" s="1444"/>
      <c r="K710" s="1444"/>
      <c r="L710" s="1444"/>
    </row>
    <row r="711" spans="1:12" x14ac:dyDescent="0.25">
      <c r="A711" s="1444"/>
      <c r="B711" s="1444"/>
      <c r="C711" s="1444"/>
      <c r="D711" s="1444"/>
      <c r="E711" s="1444"/>
      <c r="F711" s="1444"/>
      <c r="G711" s="1444"/>
      <c r="H711" s="1444"/>
      <c r="I711" s="1444"/>
      <c r="J711" s="1444"/>
      <c r="K711" s="1444"/>
      <c r="L711" s="1444"/>
    </row>
    <row r="712" spans="1:12" x14ac:dyDescent="0.25">
      <c r="A712" s="1444"/>
      <c r="B712" s="1444"/>
      <c r="C712" s="1444"/>
      <c r="D712" s="1444"/>
      <c r="E712" s="1444"/>
      <c r="F712" s="1444"/>
      <c r="G712" s="1444"/>
      <c r="H712" s="1444"/>
      <c r="I712" s="1444"/>
      <c r="J712" s="1444"/>
      <c r="K712" s="1444"/>
      <c r="L712" s="1444"/>
    </row>
    <row r="713" spans="1:12" x14ac:dyDescent="0.25">
      <c r="A713" s="1444"/>
      <c r="B713" s="1444"/>
      <c r="C713" s="1444"/>
      <c r="D713" s="1444"/>
      <c r="E713" s="1444"/>
      <c r="F713" s="1444"/>
      <c r="G713" s="1444"/>
      <c r="H713" s="1444"/>
      <c r="I713" s="1444"/>
      <c r="J713" s="1444"/>
      <c r="K713" s="1444"/>
      <c r="L713" s="1444"/>
    </row>
    <row r="714" spans="1:12" x14ac:dyDescent="0.25">
      <c r="A714" s="1444"/>
      <c r="B714" s="1444"/>
      <c r="C714" s="1444"/>
      <c r="D714" s="1444"/>
      <c r="E714" s="1444"/>
      <c r="F714" s="1444"/>
      <c r="G714" s="1444"/>
      <c r="H714" s="1444"/>
      <c r="I714" s="1444"/>
      <c r="J714" s="1444"/>
      <c r="K714" s="1444"/>
      <c r="L714" s="1444"/>
    </row>
    <row r="715" spans="1:12" x14ac:dyDescent="0.25">
      <c r="A715" s="1444"/>
      <c r="B715" s="1444"/>
      <c r="C715" s="1444"/>
      <c r="D715" s="1444"/>
      <c r="E715" s="1444"/>
      <c r="F715" s="1444"/>
      <c r="G715" s="1444"/>
      <c r="H715" s="1444"/>
      <c r="I715" s="1444"/>
      <c r="J715" s="1444"/>
      <c r="K715" s="1444"/>
      <c r="L715" s="1444"/>
    </row>
    <row r="716" spans="1:12" x14ac:dyDescent="0.25">
      <c r="A716" s="1444"/>
      <c r="B716" s="1444"/>
      <c r="C716" s="1444"/>
      <c r="D716" s="1444"/>
      <c r="E716" s="1444"/>
      <c r="F716" s="1444"/>
      <c r="G716" s="1444"/>
      <c r="H716" s="1444"/>
      <c r="I716" s="1444"/>
      <c r="J716" s="1444"/>
      <c r="K716" s="1444"/>
      <c r="L716" s="1444"/>
    </row>
    <row r="717" spans="1:12" x14ac:dyDescent="0.25">
      <c r="A717" s="1444"/>
      <c r="B717" s="1444"/>
      <c r="C717" s="1444"/>
      <c r="D717" s="1444"/>
      <c r="E717" s="1444"/>
      <c r="F717" s="1444"/>
      <c r="G717" s="1444"/>
      <c r="H717" s="1444"/>
      <c r="I717" s="1444"/>
      <c r="J717" s="1444"/>
      <c r="K717" s="1444"/>
      <c r="L717" s="1444"/>
    </row>
    <row r="718" spans="1:12" x14ac:dyDescent="0.25">
      <c r="A718" s="1444"/>
      <c r="B718" s="1444"/>
      <c r="C718" s="1444"/>
      <c r="D718" s="1444"/>
      <c r="E718" s="1444"/>
      <c r="F718" s="1444"/>
      <c r="G718" s="1444"/>
      <c r="H718" s="1444"/>
      <c r="I718" s="1444"/>
      <c r="J718" s="1444"/>
      <c r="K718" s="1444"/>
      <c r="L718" s="1444"/>
    </row>
    <row r="719" spans="1:12" x14ac:dyDescent="0.25">
      <c r="A719" s="1444"/>
      <c r="B719" s="1444"/>
      <c r="C719" s="1444"/>
      <c r="D719" s="1444"/>
      <c r="E719" s="1444"/>
      <c r="F719" s="1444"/>
      <c r="G719" s="1444"/>
      <c r="H719" s="1444"/>
      <c r="I719" s="1444"/>
      <c r="J719" s="1444"/>
      <c r="K719" s="1444"/>
      <c r="L719" s="1444"/>
    </row>
    <row r="720" spans="1:12" x14ac:dyDescent="0.25">
      <c r="A720" s="1444"/>
      <c r="B720" s="1444"/>
      <c r="C720" s="1444"/>
      <c r="D720" s="1444"/>
      <c r="E720" s="1444"/>
      <c r="F720" s="1444"/>
      <c r="G720" s="1444"/>
      <c r="H720" s="1444"/>
      <c r="I720" s="1444"/>
      <c r="J720" s="1444"/>
      <c r="K720" s="1444"/>
      <c r="L720" s="1444"/>
    </row>
    <row r="721" spans="1:12" x14ac:dyDescent="0.25">
      <c r="A721" s="1444"/>
      <c r="B721" s="1444"/>
      <c r="C721" s="1444"/>
      <c r="D721" s="1444"/>
      <c r="E721" s="1444"/>
      <c r="F721" s="1444"/>
      <c r="G721" s="1444"/>
      <c r="H721" s="1444"/>
      <c r="I721" s="1444"/>
      <c r="J721" s="1444"/>
      <c r="K721" s="1444"/>
      <c r="L721" s="1444"/>
    </row>
    <row r="722" spans="1:12" x14ac:dyDescent="0.25">
      <c r="A722" s="1444"/>
      <c r="B722" s="1444"/>
      <c r="C722" s="1444"/>
      <c r="D722" s="1444"/>
      <c r="E722" s="1444"/>
      <c r="F722" s="1444"/>
      <c r="G722" s="1444"/>
      <c r="H722" s="1444"/>
      <c r="I722" s="1444"/>
      <c r="J722" s="1444"/>
      <c r="K722" s="1444"/>
      <c r="L722" s="1444"/>
    </row>
    <row r="723" spans="1:12" x14ac:dyDescent="0.25">
      <c r="A723" s="1444"/>
      <c r="B723" s="1444"/>
      <c r="C723" s="1444"/>
      <c r="D723" s="1444"/>
      <c r="E723" s="1444"/>
      <c r="F723" s="1444"/>
      <c r="G723" s="1444"/>
      <c r="H723" s="1444"/>
      <c r="I723" s="1444"/>
      <c r="J723" s="1444"/>
      <c r="K723" s="1444"/>
      <c r="L723" s="1444"/>
    </row>
    <row r="724" spans="1:12" x14ac:dyDescent="0.25">
      <c r="A724" s="1444"/>
      <c r="B724" s="1444"/>
      <c r="C724" s="1444"/>
      <c r="D724" s="1444"/>
      <c r="E724" s="1444"/>
      <c r="F724" s="1444"/>
      <c r="G724" s="1444"/>
      <c r="H724" s="1444"/>
      <c r="I724" s="1444"/>
      <c r="J724" s="1444"/>
      <c r="K724" s="1444"/>
      <c r="L724" s="1444"/>
    </row>
    <row r="725" spans="1:12" x14ac:dyDescent="0.25">
      <c r="A725" s="1444"/>
      <c r="B725" s="1444"/>
      <c r="C725" s="1444"/>
      <c r="D725" s="1444"/>
      <c r="E725" s="1444"/>
      <c r="F725" s="1444"/>
      <c r="G725" s="1444"/>
      <c r="H725" s="1444"/>
      <c r="I725" s="1444"/>
      <c r="J725" s="1444"/>
      <c r="K725" s="1444"/>
      <c r="L725" s="1444"/>
    </row>
    <row r="726" spans="1:12" x14ac:dyDescent="0.25">
      <c r="A726" s="1444"/>
      <c r="B726" s="1444"/>
      <c r="C726" s="1444"/>
      <c r="D726" s="1444"/>
      <c r="E726" s="1444"/>
      <c r="F726" s="1444"/>
      <c r="G726" s="1444"/>
      <c r="H726" s="1444"/>
      <c r="I726" s="1444"/>
      <c r="J726" s="1444"/>
      <c r="K726" s="1444"/>
      <c r="L726" s="1444"/>
    </row>
    <row r="727" spans="1:12" x14ac:dyDescent="0.25">
      <c r="A727" s="1444"/>
      <c r="B727" s="1444"/>
      <c r="C727" s="1444"/>
      <c r="D727" s="1444"/>
      <c r="E727" s="1444"/>
      <c r="F727" s="1444"/>
      <c r="G727" s="1444"/>
      <c r="H727" s="1444"/>
      <c r="I727" s="1444"/>
      <c r="J727" s="1444"/>
      <c r="K727" s="1444"/>
      <c r="L727" s="1444"/>
    </row>
    <row r="728" spans="1:12" x14ac:dyDescent="0.25">
      <c r="A728" s="1444"/>
      <c r="B728" s="1444"/>
      <c r="C728" s="1444"/>
      <c r="D728" s="1444"/>
      <c r="E728" s="1444"/>
      <c r="F728" s="1444"/>
      <c r="G728" s="1444"/>
      <c r="H728" s="1444"/>
      <c r="I728" s="1444"/>
      <c r="J728" s="1444"/>
      <c r="K728" s="1444"/>
      <c r="L728" s="1444"/>
    </row>
    <row r="729" spans="1:12" x14ac:dyDescent="0.25">
      <c r="A729" s="1444"/>
      <c r="B729" s="1444"/>
      <c r="C729" s="1444"/>
      <c r="D729" s="1444"/>
      <c r="E729" s="1444"/>
      <c r="F729" s="1444"/>
      <c r="G729" s="1444"/>
      <c r="H729" s="1444"/>
      <c r="I729" s="1444"/>
      <c r="J729" s="1444"/>
      <c r="K729" s="1444"/>
      <c r="L729" s="1444"/>
    </row>
    <row r="730" spans="1:12" x14ac:dyDescent="0.25">
      <c r="A730" s="1444"/>
      <c r="B730" s="1444"/>
      <c r="C730" s="1444"/>
      <c r="D730" s="1444"/>
      <c r="E730" s="1444"/>
      <c r="F730" s="1444"/>
      <c r="G730" s="1444"/>
      <c r="H730" s="1444"/>
      <c r="I730" s="1444"/>
      <c r="J730" s="1444"/>
      <c r="K730" s="1444"/>
      <c r="L730" s="1444"/>
    </row>
    <row r="731" spans="1:12" x14ac:dyDescent="0.25">
      <c r="A731" s="1444"/>
      <c r="B731" s="1444"/>
      <c r="C731" s="1444"/>
      <c r="D731" s="1444"/>
      <c r="E731" s="1444"/>
      <c r="F731" s="1444"/>
      <c r="G731" s="1444"/>
      <c r="H731" s="1444"/>
      <c r="I731" s="1444"/>
      <c r="J731" s="1444"/>
      <c r="K731" s="1444"/>
      <c r="L731" s="1444"/>
    </row>
    <row r="732" spans="1:12" x14ac:dyDescent="0.25">
      <c r="A732" s="1444"/>
      <c r="B732" s="1444"/>
      <c r="C732" s="1444"/>
      <c r="D732" s="1444"/>
      <c r="E732" s="1444"/>
      <c r="F732" s="1444"/>
      <c r="G732" s="1444"/>
      <c r="H732" s="1444"/>
      <c r="I732" s="1444"/>
      <c r="J732" s="1444"/>
      <c r="K732" s="1444"/>
      <c r="L732" s="1444"/>
    </row>
    <row r="733" spans="1:12" x14ac:dyDescent="0.25">
      <c r="A733" s="1444"/>
      <c r="B733" s="1444"/>
      <c r="C733" s="1444"/>
      <c r="D733" s="1444"/>
      <c r="E733" s="1444"/>
      <c r="F733" s="1444"/>
      <c r="G733" s="1444"/>
      <c r="H733" s="1444"/>
      <c r="I733" s="1444"/>
      <c r="J733" s="1444"/>
      <c r="K733" s="1444"/>
      <c r="L733" s="1444"/>
    </row>
    <row r="734" spans="1:12" x14ac:dyDescent="0.25">
      <c r="A734" s="1444"/>
      <c r="B734" s="1444"/>
      <c r="C734" s="1444"/>
      <c r="D734" s="1444"/>
      <c r="E734" s="1444"/>
      <c r="F734" s="1444"/>
      <c r="G734" s="1444"/>
      <c r="H734" s="1444"/>
      <c r="I734" s="1444"/>
      <c r="J734" s="1444"/>
      <c r="K734" s="1444"/>
      <c r="L734" s="1444"/>
    </row>
    <row r="735" spans="1:12" x14ac:dyDescent="0.25">
      <c r="A735" s="1444"/>
      <c r="B735" s="1444"/>
      <c r="C735" s="1444"/>
      <c r="D735" s="1444"/>
      <c r="E735" s="1444"/>
      <c r="F735" s="1444"/>
      <c r="G735" s="1444"/>
      <c r="H735" s="1444"/>
      <c r="I735" s="1444"/>
      <c r="J735" s="1444"/>
      <c r="K735" s="1444"/>
      <c r="L735" s="1444"/>
    </row>
    <row r="736" spans="1:12" x14ac:dyDescent="0.25">
      <c r="A736" s="1444"/>
      <c r="B736" s="1444"/>
      <c r="C736" s="1444"/>
      <c r="D736" s="1444"/>
      <c r="E736" s="1444"/>
      <c r="F736" s="1444"/>
      <c r="G736" s="1444"/>
      <c r="H736" s="1444"/>
      <c r="I736" s="1444"/>
      <c r="J736" s="1444"/>
      <c r="K736" s="1444"/>
      <c r="L736" s="1444"/>
    </row>
    <row r="737" spans="1:12" x14ac:dyDescent="0.25">
      <c r="A737" s="1444"/>
      <c r="B737" s="1444"/>
      <c r="C737" s="1444"/>
      <c r="D737" s="1444"/>
      <c r="E737" s="1444"/>
      <c r="F737" s="1444"/>
      <c r="G737" s="1444"/>
      <c r="H737" s="1444"/>
      <c r="I737" s="1444"/>
      <c r="J737" s="1444"/>
      <c r="K737" s="1444"/>
      <c r="L737" s="1444"/>
    </row>
    <row r="738" spans="1:12" x14ac:dyDescent="0.25">
      <c r="A738" s="1444"/>
      <c r="B738" s="1444"/>
      <c r="C738" s="1444"/>
      <c r="D738" s="1444"/>
      <c r="E738" s="1444"/>
      <c r="F738" s="1444"/>
      <c r="G738" s="1444"/>
      <c r="H738" s="1444"/>
      <c r="I738" s="1444"/>
      <c r="J738" s="1444"/>
      <c r="K738" s="1444"/>
      <c r="L738" s="1444"/>
    </row>
    <row r="739" spans="1:12" x14ac:dyDescent="0.25">
      <c r="A739" s="1444"/>
      <c r="B739" s="1444"/>
      <c r="C739" s="1444"/>
      <c r="D739" s="1444"/>
      <c r="E739" s="1444"/>
      <c r="F739" s="1444"/>
      <c r="G739" s="1444"/>
      <c r="H739" s="1444"/>
      <c r="I739" s="1444"/>
      <c r="J739" s="1444"/>
      <c r="K739" s="1444"/>
      <c r="L739" s="1444"/>
    </row>
    <row r="740" spans="1:12" x14ac:dyDescent="0.25">
      <c r="A740" s="1444"/>
      <c r="B740" s="1444"/>
      <c r="C740" s="1444"/>
      <c r="D740" s="1444"/>
      <c r="E740" s="1444"/>
      <c r="F740" s="1444"/>
      <c r="G740" s="1444"/>
      <c r="H740" s="1444"/>
      <c r="I740" s="1444"/>
      <c r="J740" s="1444"/>
      <c r="K740" s="1444"/>
      <c r="L740" s="1444"/>
    </row>
    <row r="741" spans="1:12" x14ac:dyDescent="0.25">
      <c r="A741" s="1444"/>
      <c r="B741" s="1444"/>
      <c r="C741" s="1444"/>
      <c r="D741" s="1444"/>
      <c r="E741" s="1444"/>
      <c r="F741" s="1444"/>
      <c r="G741" s="1444"/>
      <c r="H741" s="1444"/>
      <c r="I741" s="1444"/>
      <c r="J741" s="1444"/>
      <c r="K741" s="1444"/>
      <c r="L741" s="1444"/>
    </row>
    <row r="742" spans="1:12" x14ac:dyDescent="0.25">
      <c r="A742" s="1444"/>
      <c r="B742" s="1444"/>
      <c r="C742" s="1444"/>
      <c r="D742" s="1444"/>
      <c r="E742" s="1444"/>
      <c r="F742" s="1444"/>
      <c r="G742" s="1444"/>
      <c r="H742" s="1444"/>
      <c r="I742" s="1444"/>
      <c r="J742" s="1444"/>
      <c r="K742" s="1444"/>
      <c r="L742" s="1444"/>
    </row>
    <row r="743" spans="1:12" x14ac:dyDescent="0.25">
      <c r="A743" s="1444"/>
      <c r="B743" s="1444"/>
      <c r="C743" s="1444"/>
      <c r="D743" s="1444"/>
      <c r="E743" s="1444"/>
      <c r="F743" s="1444"/>
      <c r="G743" s="1444"/>
      <c r="H743" s="1444"/>
      <c r="I743" s="1444"/>
      <c r="J743" s="1444"/>
      <c r="K743" s="1444"/>
      <c r="L743" s="1444"/>
    </row>
    <row r="744" spans="1:12" x14ac:dyDescent="0.25">
      <c r="A744" s="1444"/>
      <c r="B744" s="1444"/>
      <c r="C744" s="1444"/>
      <c r="D744" s="1444"/>
      <c r="E744" s="1444"/>
      <c r="F744" s="1444"/>
      <c r="G744" s="1444"/>
      <c r="H744" s="1444"/>
      <c r="I744" s="1444"/>
      <c r="J744" s="1444"/>
      <c r="K744" s="1444"/>
      <c r="L744" s="1444"/>
    </row>
    <row r="745" spans="1:12" x14ac:dyDescent="0.25">
      <c r="A745" s="1444"/>
      <c r="B745" s="1444"/>
      <c r="C745" s="1444"/>
      <c r="D745" s="1444"/>
      <c r="E745" s="1444"/>
      <c r="F745" s="1444"/>
      <c r="G745" s="1444"/>
      <c r="H745" s="1444"/>
      <c r="I745" s="1444"/>
      <c r="J745" s="1444"/>
      <c r="K745" s="1444"/>
      <c r="L745" s="1444"/>
    </row>
    <row r="746" spans="1:12" x14ac:dyDescent="0.25">
      <c r="A746" s="1444"/>
      <c r="B746" s="1444"/>
      <c r="C746" s="1444"/>
      <c r="D746" s="1444"/>
      <c r="E746" s="1444"/>
      <c r="F746" s="1444"/>
      <c r="G746" s="1444"/>
      <c r="H746" s="1444"/>
      <c r="I746" s="1444"/>
      <c r="J746" s="1444"/>
      <c r="K746" s="1444"/>
      <c r="L746" s="1444"/>
    </row>
    <row r="747" spans="1:12" x14ac:dyDescent="0.25">
      <c r="A747" s="1444"/>
      <c r="B747" s="1444"/>
      <c r="C747" s="1444"/>
      <c r="D747" s="1444"/>
      <c r="E747" s="1444"/>
      <c r="F747" s="1444"/>
      <c r="G747" s="1444"/>
      <c r="H747" s="1444"/>
      <c r="I747" s="1444"/>
      <c r="J747" s="1444"/>
      <c r="K747" s="1444"/>
      <c r="L747" s="1444"/>
    </row>
    <row r="748" spans="1:12" x14ac:dyDescent="0.25">
      <c r="A748" s="1444"/>
      <c r="B748" s="1444"/>
      <c r="C748" s="1444"/>
      <c r="D748" s="1444"/>
      <c r="E748" s="1444"/>
      <c r="F748" s="1444"/>
      <c r="G748" s="1444"/>
      <c r="H748" s="1444"/>
      <c r="I748" s="1444"/>
      <c r="J748" s="1444"/>
      <c r="K748" s="1444"/>
      <c r="L748" s="1444"/>
    </row>
    <row r="749" spans="1:12" x14ac:dyDescent="0.25">
      <c r="A749" s="1444"/>
      <c r="B749" s="1444"/>
      <c r="C749" s="1444"/>
      <c r="D749" s="1444"/>
      <c r="E749" s="1444"/>
      <c r="F749" s="1444"/>
      <c r="G749" s="1444"/>
      <c r="H749" s="1444"/>
      <c r="I749" s="1444"/>
      <c r="J749" s="1444"/>
      <c r="K749" s="1444"/>
      <c r="L749" s="1444"/>
    </row>
    <row r="750" spans="1:12" x14ac:dyDescent="0.25">
      <c r="A750" s="1444"/>
      <c r="B750" s="1444"/>
      <c r="C750" s="1444"/>
      <c r="D750" s="1444"/>
      <c r="E750" s="1444"/>
      <c r="F750" s="1444"/>
      <c r="G750" s="1444"/>
      <c r="H750" s="1444"/>
      <c r="I750" s="1444"/>
      <c r="J750" s="1444"/>
      <c r="K750" s="1444"/>
      <c r="L750" s="1444"/>
    </row>
    <row r="751" spans="1:12" x14ac:dyDescent="0.25">
      <c r="A751" s="1444"/>
      <c r="B751" s="1444"/>
      <c r="C751" s="1444"/>
      <c r="D751" s="1444"/>
      <c r="E751" s="1444"/>
      <c r="F751" s="1444"/>
      <c r="G751" s="1444"/>
      <c r="H751" s="1444"/>
      <c r="I751" s="1444"/>
      <c r="J751" s="1444"/>
      <c r="K751" s="1444"/>
      <c r="L751" s="1444"/>
    </row>
    <row r="752" spans="1:12" x14ac:dyDescent="0.25">
      <c r="A752" s="1444"/>
      <c r="B752" s="1444"/>
      <c r="C752" s="1444"/>
      <c r="D752" s="1444"/>
      <c r="E752" s="1444"/>
      <c r="F752" s="1444"/>
      <c r="G752" s="1444"/>
      <c r="H752" s="1444"/>
      <c r="I752" s="1444"/>
      <c r="J752" s="1444"/>
      <c r="K752" s="1444"/>
      <c r="L752" s="1444"/>
    </row>
    <row r="753" spans="1:18" x14ac:dyDescent="0.25">
      <c r="A753" s="1444"/>
      <c r="B753" s="1444"/>
      <c r="C753" s="1444"/>
      <c r="D753" s="1444"/>
      <c r="E753" s="1444"/>
      <c r="F753" s="1444"/>
      <c r="G753" s="1444"/>
      <c r="H753" s="1444"/>
      <c r="I753" s="1444"/>
      <c r="J753" s="1444"/>
      <c r="K753" s="1444"/>
      <c r="L753" s="1444"/>
    </row>
    <row r="755" spans="1:18" ht="15.75" thickBot="1" x14ac:dyDescent="0.3"/>
    <row r="756" spans="1:18" ht="21" x14ac:dyDescent="0.35">
      <c r="A756" s="404" t="s">
        <v>584</v>
      </c>
      <c r="B756" s="445"/>
      <c r="C756" s="445"/>
      <c r="D756" s="445"/>
      <c r="E756" s="446"/>
      <c r="G756" s="16"/>
    </row>
    <row r="757" spans="1:18" ht="21" x14ac:dyDescent="0.35">
      <c r="A757" s="409"/>
      <c r="B757" s="19"/>
      <c r="C757" s="19"/>
      <c r="D757" s="19"/>
      <c r="E757" s="447"/>
      <c r="G757" s="16"/>
    </row>
    <row r="758" spans="1:18" x14ac:dyDescent="0.25">
      <c r="A758" s="448"/>
      <c r="B758" s="19"/>
      <c r="C758" s="19"/>
      <c r="D758" s="19"/>
      <c r="E758" s="447"/>
      <c r="G758" s="16"/>
    </row>
    <row r="759" spans="1:18" x14ac:dyDescent="0.25">
      <c r="A759" s="449" t="s">
        <v>352</v>
      </c>
      <c r="B759" s="21" t="s">
        <v>95</v>
      </c>
      <c r="C759" s="303">
        <v>0.25</v>
      </c>
      <c r="D759" s="21" t="s">
        <v>95</v>
      </c>
      <c r="E759" s="304">
        <v>1</v>
      </c>
      <c r="F759" s="16"/>
      <c r="G759" s="16"/>
    </row>
    <row r="760" spans="1:18" ht="25.5" x14ac:dyDescent="0.25">
      <c r="A760" s="465" t="s">
        <v>96</v>
      </c>
      <c r="B760" s="466" t="s">
        <v>68</v>
      </c>
      <c r="C760" s="466" t="s">
        <v>69</v>
      </c>
      <c r="D760" s="466" t="s">
        <v>68</v>
      </c>
      <c r="E760" s="24" t="s">
        <v>69</v>
      </c>
      <c r="G760" s="16"/>
      <c r="H760" s="3"/>
      <c r="I760" s="3"/>
      <c r="J760" s="3"/>
      <c r="L760" s="3"/>
      <c r="M760" s="3"/>
      <c r="N760" s="3"/>
      <c r="O760" s="3"/>
      <c r="P760" s="3"/>
      <c r="Q760" s="3"/>
      <c r="R760" s="3"/>
    </row>
    <row r="761" spans="1:18" x14ac:dyDescent="0.25">
      <c r="A761" s="465"/>
      <c r="B761" s="466" t="s">
        <v>369</v>
      </c>
      <c r="C761" s="466" t="s">
        <v>370</v>
      </c>
      <c r="D761" s="466" t="s">
        <v>369</v>
      </c>
      <c r="E761" s="24" t="s">
        <v>370</v>
      </c>
      <c r="G761" s="16"/>
    </row>
    <row r="762" spans="1:18" x14ac:dyDescent="0.25">
      <c r="A762" s="450" t="s">
        <v>1</v>
      </c>
      <c r="B762" s="25" t="s">
        <v>1</v>
      </c>
      <c r="C762" s="25" t="s">
        <v>85</v>
      </c>
      <c r="D762" s="25" t="s">
        <v>1</v>
      </c>
      <c r="E762" s="451" t="s">
        <v>85</v>
      </c>
      <c r="G762" s="16"/>
      <c r="K762" s="452"/>
    </row>
    <row r="763" spans="1:18" x14ac:dyDescent="0.25">
      <c r="A763" s="450"/>
      <c r="B763" s="25"/>
      <c r="C763" s="25"/>
      <c r="D763" s="25"/>
      <c r="E763" s="451"/>
      <c r="K763" s="452"/>
    </row>
    <row r="764" spans="1:18" x14ac:dyDescent="0.25">
      <c r="A764" s="291">
        <v>0.05</v>
      </c>
      <c r="B764" s="292">
        <v>5.0000000000000001E-4</v>
      </c>
      <c r="C764" s="293">
        <v>0.01</v>
      </c>
      <c r="D764" s="292">
        <v>5.0000000000000001E-4</v>
      </c>
      <c r="E764" s="294">
        <v>0.01</v>
      </c>
      <c r="K764" s="410"/>
    </row>
    <row r="765" spans="1:18" x14ac:dyDescent="0.25">
      <c r="A765" s="291">
        <v>0.2</v>
      </c>
      <c r="B765" s="292">
        <v>4.0000000000000002E-4</v>
      </c>
      <c r="C765" s="293">
        <v>0.02</v>
      </c>
      <c r="D765" s="292">
        <v>4.0000000000000002E-4</v>
      </c>
      <c r="E765" s="294">
        <v>0.02</v>
      </c>
    </row>
    <row r="766" spans="1:18" x14ac:dyDescent="0.25">
      <c r="A766" s="291">
        <v>1</v>
      </c>
      <c r="B766" s="292">
        <v>2.9999999999999997E-4</v>
      </c>
      <c r="C766" s="293">
        <v>0.03</v>
      </c>
      <c r="D766" s="292">
        <v>2.9999999999999997E-4</v>
      </c>
      <c r="E766" s="294">
        <v>0.03</v>
      </c>
      <c r="G766" s="3"/>
    </row>
    <row r="767" spans="1:18" x14ac:dyDescent="0.25">
      <c r="A767" s="291">
        <v>1.2</v>
      </c>
      <c r="B767" s="292">
        <v>1E-4</v>
      </c>
      <c r="C767" s="293">
        <v>0.04</v>
      </c>
      <c r="D767" s="292">
        <v>1E-4</v>
      </c>
      <c r="E767" s="294">
        <v>0.04</v>
      </c>
      <c r="M767" s="7"/>
      <c r="N767" s="453"/>
    </row>
    <row r="768" spans="1:18" x14ac:dyDescent="0.25">
      <c r="A768" s="291"/>
      <c r="B768" s="292"/>
      <c r="C768" s="295"/>
      <c r="D768" s="292"/>
      <c r="E768" s="296"/>
      <c r="M768" s="7"/>
      <c r="N768" s="453"/>
    </row>
    <row r="769" spans="1:18" x14ac:dyDescent="0.25">
      <c r="A769" s="297"/>
      <c r="B769" s="292"/>
      <c r="C769" s="295"/>
      <c r="D769" s="292"/>
      <c r="E769" s="296"/>
      <c r="M769" s="7"/>
      <c r="N769" s="453"/>
    </row>
    <row r="770" spans="1:18" x14ac:dyDescent="0.25">
      <c r="A770" s="424"/>
      <c r="B770" s="7"/>
      <c r="C770" s="7"/>
      <c r="D770" s="7"/>
      <c r="E770" s="18"/>
      <c r="H770" s="3"/>
      <c r="I770" s="3"/>
      <c r="J770" s="3"/>
      <c r="M770" s="7"/>
      <c r="N770" s="453"/>
      <c r="O770" s="3"/>
      <c r="P770" s="3"/>
      <c r="Q770" s="3"/>
      <c r="R770" s="3"/>
    </row>
    <row r="771" spans="1:18" x14ac:dyDescent="0.25">
      <c r="A771" s="449" t="s">
        <v>353</v>
      </c>
      <c r="B771" s="21" t="s">
        <v>95</v>
      </c>
      <c r="C771" s="303">
        <v>0.25</v>
      </c>
      <c r="D771" s="21" t="s">
        <v>95</v>
      </c>
      <c r="E771" s="304">
        <v>1</v>
      </c>
      <c r="M771" s="7"/>
      <c r="N771" s="453"/>
    </row>
    <row r="772" spans="1:18" ht="25.5" x14ac:dyDescent="0.25">
      <c r="A772" s="465" t="s">
        <v>96</v>
      </c>
      <c r="B772" s="466" t="s">
        <v>68</v>
      </c>
      <c r="C772" s="466" t="s">
        <v>69</v>
      </c>
      <c r="D772" s="466" t="s">
        <v>68</v>
      </c>
      <c r="E772" s="24" t="s">
        <v>69</v>
      </c>
      <c r="G772" s="16"/>
      <c r="H772" s="16"/>
    </row>
    <row r="773" spans="1:18" x14ac:dyDescent="0.25">
      <c r="A773" s="465"/>
      <c r="B773" s="466" t="s">
        <v>369</v>
      </c>
      <c r="C773" s="466" t="s">
        <v>370</v>
      </c>
      <c r="D773" s="466" t="s">
        <v>369</v>
      </c>
      <c r="E773" s="24" t="s">
        <v>370</v>
      </c>
      <c r="G773" s="16"/>
      <c r="H773" s="16"/>
      <c r="I773" s="7"/>
      <c r="J773" s="7"/>
      <c r="K773" s="7"/>
    </row>
    <row r="774" spans="1:18" x14ac:dyDescent="0.25">
      <c r="A774" s="450" t="s">
        <v>1</v>
      </c>
      <c r="B774" s="25" t="s">
        <v>1</v>
      </c>
      <c r="C774" s="25" t="s">
        <v>85</v>
      </c>
      <c r="D774" s="25" t="s">
        <v>1</v>
      </c>
      <c r="E774" s="451" t="s">
        <v>85</v>
      </c>
      <c r="G774" s="16"/>
      <c r="H774" s="16"/>
      <c r="I774" s="7"/>
      <c r="J774" s="7"/>
      <c r="K774" s="7"/>
    </row>
    <row r="775" spans="1:18" x14ac:dyDescent="0.25">
      <c r="A775" s="450"/>
      <c r="B775" s="25"/>
      <c r="C775" s="25"/>
      <c r="D775" s="25"/>
      <c r="E775" s="451"/>
      <c r="G775" s="16"/>
      <c r="H775" s="16"/>
    </row>
    <row r="776" spans="1:18" x14ac:dyDescent="0.25">
      <c r="A776" s="291">
        <v>0.05</v>
      </c>
      <c r="B776" s="292">
        <v>5.0000000000000001E-4</v>
      </c>
      <c r="C776" s="293">
        <v>0.01</v>
      </c>
      <c r="D776" s="292">
        <v>5.0000000000000001E-4</v>
      </c>
      <c r="E776" s="294">
        <v>0.01</v>
      </c>
      <c r="G776" s="16"/>
      <c r="H776" s="16"/>
      <c r="I776" s="7"/>
      <c r="J776" s="7"/>
      <c r="K776" s="7"/>
    </row>
    <row r="777" spans="1:18" x14ac:dyDescent="0.25">
      <c r="A777" s="291">
        <v>0.2</v>
      </c>
      <c r="B777" s="292">
        <v>4.0000000000000002E-4</v>
      </c>
      <c r="C777" s="293">
        <v>0.02</v>
      </c>
      <c r="D777" s="292">
        <v>4.0000000000000002E-4</v>
      </c>
      <c r="E777" s="294">
        <v>0.02</v>
      </c>
      <c r="G777" s="16"/>
      <c r="H777" s="16"/>
      <c r="I777" s="7"/>
      <c r="J777" s="7"/>
      <c r="K777" s="7"/>
    </row>
    <row r="778" spans="1:18" x14ac:dyDescent="0.25">
      <c r="A778" s="291">
        <v>1</v>
      </c>
      <c r="B778" s="292">
        <v>2.9999999999999997E-4</v>
      </c>
      <c r="C778" s="293">
        <v>0.03</v>
      </c>
      <c r="D778" s="292">
        <v>2.9999999999999997E-4</v>
      </c>
      <c r="E778" s="294">
        <v>0.03</v>
      </c>
      <c r="G778" s="16"/>
      <c r="H778" s="16"/>
    </row>
    <row r="779" spans="1:18" x14ac:dyDescent="0.25">
      <c r="A779" s="291">
        <v>1.2</v>
      </c>
      <c r="B779" s="292">
        <v>1E-4</v>
      </c>
      <c r="C779" s="293">
        <v>0.04</v>
      </c>
      <c r="D779" s="292">
        <v>1E-4</v>
      </c>
      <c r="E779" s="294">
        <v>0.04</v>
      </c>
      <c r="G779" s="16"/>
      <c r="H779" s="16"/>
    </row>
    <row r="780" spans="1:18" x14ac:dyDescent="0.25">
      <c r="A780" s="291"/>
      <c r="B780" s="292"/>
      <c r="C780" s="295"/>
      <c r="D780" s="292"/>
      <c r="E780" s="296"/>
      <c r="G780" s="16"/>
      <c r="H780" s="16"/>
      <c r="I780" s="3"/>
      <c r="J780" s="3"/>
      <c r="K780" s="3"/>
      <c r="L780" s="3"/>
      <c r="M780" s="3"/>
      <c r="N780" s="3"/>
      <c r="O780" s="3"/>
      <c r="P780" s="3"/>
      <c r="Q780" s="3"/>
      <c r="R780" s="3"/>
    </row>
    <row r="781" spans="1:18" x14ac:dyDescent="0.25">
      <c r="A781" s="297"/>
      <c r="B781" s="292"/>
      <c r="C781" s="295"/>
      <c r="D781" s="292"/>
      <c r="E781" s="296"/>
      <c r="G781" s="16"/>
      <c r="H781" s="16"/>
    </row>
    <row r="782" spans="1:18" x14ac:dyDescent="0.25">
      <c r="A782" s="448"/>
      <c r="B782" s="19"/>
      <c r="C782" s="19"/>
      <c r="D782" s="19"/>
      <c r="E782" s="447"/>
      <c r="G782" s="16"/>
      <c r="H782" s="16"/>
    </row>
    <row r="783" spans="1:18" x14ac:dyDescent="0.25">
      <c r="A783" s="449" t="s">
        <v>354</v>
      </c>
      <c r="B783" s="21" t="s">
        <v>95</v>
      </c>
      <c r="C783" s="303">
        <v>0.25</v>
      </c>
      <c r="D783" s="21" t="s">
        <v>95</v>
      </c>
      <c r="E783" s="304">
        <v>1</v>
      </c>
      <c r="G783" s="16"/>
      <c r="H783" s="16"/>
      <c r="I783" s="7"/>
      <c r="J783" s="7"/>
      <c r="K783" s="7"/>
    </row>
    <row r="784" spans="1:18" ht="25.5" x14ac:dyDescent="0.25">
      <c r="A784" s="465" t="s">
        <v>96</v>
      </c>
      <c r="B784" s="466" t="s">
        <v>68</v>
      </c>
      <c r="C784" s="466" t="s">
        <v>69</v>
      </c>
      <c r="D784" s="466" t="s">
        <v>68</v>
      </c>
      <c r="E784" s="24" t="s">
        <v>69</v>
      </c>
      <c r="G784" s="16"/>
      <c r="H784" s="16"/>
      <c r="I784" s="7"/>
      <c r="J784" s="7"/>
      <c r="K784" s="7"/>
    </row>
    <row r="785" spans="1:18" x14ac:dyDescent="0.25">
      <c r="A785" s="465"/>
      <c r="B785" s="466" t="s">
        <v>369</v>
      </c>
      <c r="C785" s="466" t="s">
        <v>370</v>
      </c>
      <c r="D785" s="466" t="s">
        <v>369</v>
      </c>
      <c r="E785" s="24" t="s">
        <v>370</v>
      </c>
      <c r="G785" s="16"/>
      <c r="H785" s="16"/>
    </row>
    <row r="786" spans="1:18" x14ac:dyDescent="0.25">
      <c r="A786" s="450" t="s">
        <v>1</v>
      </c>
      <c r="B786" s="25" t="s">
        <v>1</v>
      </c>
      <c r="C786" s="25" t="s">
        <v>85</v>
      </c>
      <c r="D786" s="25" t="s">
        <v>1</v>
      </c>
      <c r="E786" s="451" t="s">
        <v>85</v>
      </c>
      <c r="G786" s="16"/>
      <c r="H786" s="16"/>
      <c r="I786" s="7"/>
      <c r="J786" s="7"/>
      <c r="K786" s="7"/>
    </row>
    <row r="787" spans="1:18" x14ac:dyDescent="0.25">
      <c r="A787" s="450"/>
      <c r="B787" s="25"/>
      <c r="C787" s="25"/>
      <c r="D787" s="25"/>
      <c r="E787" s="451"/>
      <c r="G787" s="16"/>
      <c r="H787" s="16"/>
      <c r="I787" s="7"/>
      <c r="J787" s="7"/>
      <c r="K787" s="7"/>
    </row>
    <row r="788" spans="1:18" x14ac:dyDescent="0.25">
      <c r="A788" s="291">
        <v>0.05</v>
      </c>
      <c r="B788" s="292">
        <v>5.0000000000000001E-4</v>
      </c>
      <c r="C788" s="293">
        <v>0.01</v>
      </c>
      <c r="D788" s="292">
        <v>5.0000000000000001E-4</v>
      </c>
      <c r="E788" s="294">
        <v>0.01</v>
      </c>
      <c r="G788" s="16"/>
      <c r="H788" s="16"/>
    </row>
    <row r="789" spans="1:18" x14ac:dyDescent="0.25">
      <c r="A789" s="291">
        <v>0.2</v>
      </c>
      <c r="B789" s="292">
        <v>4.0000000000000002E-4</v>
      </c>
      <c r="C789" s="293">
        <v>0.02</v>
      </c>
      <c r="D789" s="292">
        <v>4.0000000000000002E-4</v>
      </c>
      <c r="E789" s="294">
        <v>0.02</v>
      </c>
      <c r="G789" s="16"/>
      <c r="H789" s="16"/>
    </row>
    <row r="790" spans="1:18" x14ac:dyDescent="0.25">
      <c r="A790" s="291">
        <v>1</v>
      </c>
      <c r="B790" s="292">
        <v>2.9999999999999997E-4</v>
      </c>
      <c r="C790" s="293">
        <v>0.03</v>
      </c>
      <c r="D790" s="292">
        <v>2.9999999999999997E-4</v>
      </c>
      <c r="E790" s="294">
        <v>0.03</v>
      </c>
      <c r="G790" s="16"/>
      <c r="H790" s="16"/>
      <c r="I790" s="3"/>
      <c r="J790" s="3"/>
      <c r="K790" s="3"/>
      <c r="L790" s="3"/>
      <c r="M790" s="3"/>
      <c r="N790" s="3"/>
      <c r="O790" s="3"/>
      <c r="P790" s="3"/>
      <c r="Q790" s="3"/>
      <c r="R790" s="3"/>
    </row>
    <row r="791" spans="1:18" x14ac:dyDescent="0.25">
      <c r="A791" s="291">
        <v>1.2</v>
      </c>
      <c r="B791" s="292">
        <v>1E-4</v>
      </c>
      <c r="C791" s="293">
        <v>0.04</v>
      </c>
      <c r="D791" s="292">
        <v>1E-4</v>
      </c>
      <c r="E791" s="294">
        <v>0.04</v>
      </c>
      <c r="G791" s="16"/>
      <c r="H791" s="16"/>
    </row>
    <row r="792" spans="1:18" x14ac:dyDescent="0.25">
      <c r="A792" s="291"/>
      <c r="B792" s="292"/>
      <c r="C792" s="295"/>
      <c r="D792" s="292"/>
      <c r="E792" s="296"/>
      <c r="G792" s="16"/>
      <c r="H792" s="16"/>
    </row>
    <row r="793" spans="1:18" x14ac:dyDescent="0.25">
      <c r="A793" s="297"/>
      <c r="B793" s="292"/>
      <c r="C793" s="295"/>
      <c r="D793" s="292"/>
      <c r="E793" s="296"/>
      <c r="G793" s="16"/>
      <c r="H793" s="16"/>
      <c r="I793" s="7"/>
      <c r="J793" s="7"/>
      <c r="K793" s="7"/>
    </row>
    <row r="794" spans="1:18" ht="15.75" thickBot="1" x14ac:dyDescent="0.3">
      <c r="A794" s="454"/>
      <c r="B794" s="455"/>
      <c r="C794" s="455"/>
      <c r="D794" s="455"/>
      <c r="E794" s="456"/>
      <c r="G794" s="16"/>
      <c r="H794" s="16"/>
      <c r="I794" s="7"/>
      <c r="J794" s="7"/>
      <c r="K794" s="7"/>
    </row>
    <row r="795" spans="1:18" ht="15.75" thickBot="1" x14ac:dyDescent="0.3">
      <c r="A795" s="448"/>
      <c r="B795" s="19"/>
      <c r="C795" s="19"/>
      <c r="D795" s="19"/>
      <c r="E795" s="447"/>
      <c r="G795" s="16"/>
      <c r="H795" s="16"/>
    </row>
    <row r="796" spans="1:18" ht="21" x14ac:dyDescent="0.35">
      <c r="A796" s="404" t="s">
        <v>585</v>
      </c>
      <c r="B796" s="445"/>
      <c r="C796" s="445"/>
      <c r="D796" s="445"/>
      <c r="E796" s="446"/>
      <c r="G796" s="16"/>
      <c r="H796" s="16"/>
      <c r="I796" s="7"/>
      <c r="J796" s="7"/>
      <c r="K796" s="7"/>
    </row>
    <row r="797" spans="1:18" x14ac:dyDescent="0.25">
      <c r="A797" s="448"/>
      <c r="B797" s="19"/>
      <c r="C797" s="19"/>
      <c r="D797" s="19"/>
      <c r="E797" s="447"/>
      <c r="G797" s="16"/>
      <c r="H797" s="16"/>
      <c r="I797" s="7"/>
      <c r="J797" s="7"/>
      <c r="K797" s="7"/>
    </row>
    <row r="798" spans="1:18" x14ac:dyDescent="0.25">
      <c r="A798" s="449" t="s">
        <v>360</v>
      </c>
      <c r="B798" s="21" t="s">
        <v>95</v>
      </c>
      <c r="C798" s="303">
        <v>0.25</v>
      </c>
      <c r="D798" s="21" t="s">
        <v>95</v>
      </c>
      <c r="E798" s="304">
        <v>1</v>
      </c>
      <c r="G798" s="16"/>
      <c r="H798" s="16"/>
    </row>
    <row r="799" spans="1:18" ht="25.5" x14ac:dyDescent="0.25">
      <c r="A799" s="465" t="s">
        <v>111</v>
      </c>
      <c r="B799" s="466" t="s">
        <v>70</v>
      </c>
      <c r="C799" s="466" t="s">
        <v>71</v>
      </c>
      <c r="D799" s="457" t="s">
        <v>70</v>
      </c>
      <c r="E799" s="24" t="s">
        <v>71</v>
      </c>
      <c r="G799" s="16"/>
      <c r="H799" s="16"/>
    </row>
    <row r="800" spans="1:18" ht="15.75" x14ac:dyDescent="0.25">
      <c r="A800" s="465"/>
      <c r="B800" s="466" t="s">
        <v>82</v>
      </c>
      <c r="C800" s="466" t="s">
        <v>83</v>
      </c>
      <c r="D800" s="457" t="s">
        <v>82</v>
      </c>
      <c r="E800" s="24" t="s">
        <v>83</v>
      </c>
      <c r="G800" s="16"/>
      <c r="H800" s="16"/>
      <c r="I800" s="3"/>
      <c r="J800" s="3"/>
      <c r="K800" s="3"/>
      <c r="L800" s="3"/>
      <c r="M800" s="3"/>
      <c r="N800" s="3"/>
      <c r="O800" s="3"/>
      <c r="P800" s="3"/>
      <c r="Q800" s="3"/>
      <c r="R800" s="3"/>
    </row>
    <row r="801" spans="1:15" x14ac:dyDescent="0.25">
      <c r="A801" s="450" t="s">
        <v>1</v>
      </c>
      <c r="B801" s="25" t="s">
        <v>1</v>
      </c>
      <c r="C801" s="25" t="s">
        <v>85</v>
      </c>
      <c r="D801" s="21" t="s">
        <v>1</v>
      </c>
      <c r="E801" s="451" t="s">
        <v>85</v>
      </c>
      <c r="G801" s="16"/>
      <c r="H801" s="16"/>
    </row>
    <row r="802" spans="1:15" x14ac:dyDescent="0.25">
      <c r="A802" s="450"/>
      <c r="B802" s="25"/>
      <c r="C802" s="25"/>
      <c r="D802" s="21"/>
      <c r="E802" s="451"/>
      <c r="G802" s="16"/>
      <c r="H802" s="16"/>
      <c r="I802" s="31"/>
      <c r="J802" s="31"/>
      <c r="K802" s="31"/>
      <c r="L802" s="7"/>
    </row>
    <row r="803" spans="1:15" x14ac:dyDescent="0.25">
      <c r="A803" s="291">
        <v>0.8</v>
      </c>
      <c r="B803" s="292">
        <v>1E-3</v>
      </c>
      <c r="C803" s="293">
        <v>0.13</v>
      </c>
      <c r="D803" s="292">
        <v>1E-3</v>
      </c>
      <c r="E803" s="294">
        <v>0.13</v>
      </c>
      <c r="G803" s="16"/>
      <c r="H803" s="16"/>
      <c r="I803" s="31"/>
      <c r="J803" s="31"/>
      <c r="K803" s="31"/>
    </row>
    <row r="804" spans="1:15" x14ac:dyDescent="0.25">
      <c r="A804" s="291">
        <v>1</v>
      </c>
      <c r="B804" s="292">
        <v>1.1000000000000001E-3</v>
      </c>
      <c r="C804" s="293">
        <v>0.14000000000000001</v>
      </c>
      <c r="D804" s="292">
        <v>1.1000000000000001E-3</v>
      </c>
      <c r="E804" s="294">
        <v>0.14000000000000001</v>
      </c>
      <c r="G804" s="16"/>
      <c r="H804" s="16"/>
    </row>
    <row r="805" spans="1:15" x14ac:dyDescent="0.25">
      <c r="A805" s="291">
        <v>1.2</v>
      </c>
      <c r="B805" s="292">
        <v>1.1999999999999999E-3</v>
      </c>
      <c r="C805" s="293">
        <v>0.15</v>
      </c>
      <c r="D805" s="292">
        <v>1.1999999999999999E-3</v>
      </c>
      <c r="E805" s="294">
        <v>0.15</v>
      </c>
      <c r="G805" s="16"/>
      <c r="H805" s="16"/>
    </row>
    <row r="806" spans="1:15" x14ac:dyDescent="0.25">
      <c r="A806" s="291"/>
      <c r="B806" s="292"/>
      <c r="C806" s="293"/>
      <c r="D806" s="292"/>
      <c r="E806" s="294"/>
      <c r="G806" s="16"/>
      <c r="H806" s="16"/>
    </row>
    <row r="807" spans="1:15" x14ac:dyDescent="0.25">
      <c r="A807" s="291"/>
      <c r="B807" s="292"/>
      <c r="C807" s="295"/>
      <c r="D807" s="292"/>
      <c r="E807" s="296"/>
      <c r="G807" s="16"/>
      <c r="H807" s="16"/>
      <c r="I807" s="7"/>
      <c r="J807" s="7"/>
      <c r="K807" s="7"/>
      <c r="L807" s="7"/>
      <c r="M807" s="7"/>
      <c r="N807" s="7"/>
      <c r="O807" s="7"/>
    </row>
    <row r="808" spans="1:15" x14ac:dyDescent="0.25">
      <c r="A808" s="297"/>
      <c r="B808" s="292"/>
      <c r="C808" s="295"/>
      <c r="D808" s="292"/>
      <c r="E808" s="296"/>
      <c r="G808" s="16"/>
      <c r="H808" s="16"/>
      <c r="I808" s="7"/>
      <c r="J808" s="7"/>
      <c r="K808" s="7"/>
      <c r="L808" s="7"/>
      <c r="M808" s="7"/>
      <c r="N808" s="7"/>
      <c r="O808" s="7"/>
    </row>
    <row r="809" spans="1:15" x14ac:dyDescent="0.25">
      <c r="A809" s="448"/>
      <c r="B809" s="19"/>
      <c r="C809" s="19"/>
      <c r="D809" s="19"/>
      <c r="E809" s="447"/>
      <c r="G809" s="16"/>
      <c r="H809" s="16"/>
      <c r="L809" s="7"/>
      <c r="M809" s="7"/>
      <c r="N809" s="7"/>
      <c r="O809" s="7"/>
    </row>
    <row r="810" spans="1:15" x14ac:dyDescent="0.25">
      <c r="A810" s="449" t="s">
        <v>361</v>
      </c>
      <c r="B810" s="21" t="s">
        <v>95</v>
      </c>
      <c r="C810" s="303">
        <v>0.25</v>
      </c>
      <c r="D810" s="21" t="s">
        <v>95</v>
      </c>
      <c r="E810" s="304">
        <v>1</v>
      </c>
      <c r="G810" s="16"/>
      <c r="H810" s="16"/>
      <c r="I810" s="7"/>
      <c r="J810" s="7"/>
      <c r="K810" s="7"/>
      <c r="L810" s="7"/>
      <c r="M810" s="7"/>
      <c r="N810" s="7"/>
      <c r="O810" s="7"/>
    </row>
    <row r="811" spans="1:15" ht="25.5" x14ac:dyDescent="0.25">
      <c r="A811" s="465" t="s">
        <v>111</v>
      </c>
      <c r="B811" s="466" t="s">
        <v>70</v>
      </c>
      <c r="C811" s="466" t="s">
        <v>71</v>
      </c>
      <c r="D811" s="457" t="s">
        <v>70</v>
      </c>
      <c r="E811" s="24" t="s">
        <v>71</v>
      </c>
      <c r="G811" s="16"/>
      <c r="H811" s="16"/>
      <c r="I811" s="7"/>
      <c r="J811" s="7"/>
      <c r="K811" s="7"/>
      <c r="L811" s="7"/>
      <c r="M811" s="7"/>
      <c r="N811" s="7"/>
      <c r="O811" s="7"/>
    </row>
    <row r="812" spans="1:15" ht="15.75" x14ac:dyDescent="0.25">
      <c r="A812" s="465"/>
      <c r="B812" s="466" t="s">
        <v>82</v>
      </c>
      <c r="C812" s="466" t="s">
        <v>83</v>
      </c>
      <c r="D812" s="457" t="s">
        <v>82</v>
      </c>
      <c r="E812" s="24" t="s">
        <v>83</v>
      </c>
      <c r="G812" s="16"/>
      <c r="H812" s="16"/>
      <c r="L812" s="7"/>
      <c r="M812" s="7"/>
      <c r="N812" s="7"/>
      <c r="O812" s="7"/>
    </row>
    <row r="813" spans="1:15" x14ac:dyDescent="0.25">
      <c r="A813" s="450" t="s">
        <v>1</v>
      </c>
      <c r="B813" s="25" t="s">
        <v>1</v>
      </c>
      <c r="C813" s="25" t="s">
        <v>85</v>
      </c>
      <c r="D813" s="21" t="s">
        <v>1</v>
      </c>
      <c r="E813" s="451" t="s">
        <v>85</v>
      </c>
      <c r="G813" s="16"/>
      <c r="H813" s="16"/>
    </row>
    <row r="814" spans="1:15" x14ac:dyDescent="0.25">
      <c r="A814" s="450"/>
      <c r="B814" s="25"/>
      <c r="C814" s="25"/>
      <c r="D814" s="21"/>
      <c r="E814" s="451"/>
      <c r="G814" s="16"/>
      <c r="H814" s="16"/>
    </row>
    <row r="815" spans="1:15" x14ac:dyDescent="0.25">
      <c r="A815" s="291">
        <v>0.8</v>
      </c>
      <c r="B815" s="292">
        <v>1E-3</v>
      </c>
      <c r="C815" s="293">
        <v>0.13</v>
      </c>
      <c r="D815" s="292">
        <v>1E-3</v>
      </c>
      <c r="E815" s="294">
        <v>0.13</v>
      </c>
      <c r="G815" s="16"/>
      <c r="H815" s="16"/>
      <c r="L815" s="7"/>
    </row>
    <row r="816" spans="1:15" x14ac:dyDescent="0.25">
      <c r="A816" s="291">
        <v>1</v>
      </c>
      <c r="B816" s="292">
        <v>1.1000000000000001E-3</v>
      </c>
      <c r="C816" s="293">
        <v>0.14000000000000001</v>
      </c>
      <c r="D816" s="292">
        <v>1.1000000000000001E-3</v>
      </c>
      <c r="E816" s="294">
        <v>0.14000000000000001</v>
      </c>
      <c r="G816" s="16"/>
      <c r="H816" s="16"/>
    </row>
    <row r="817" spans="1:18" x14ac:dyDescent="0.25">
      <c r="A817" s="291">
        <v>1.2</v>
      </c>
      <c r="B817" s="292">
        <v>1.1999999999999999E-3</v>
      </c>
      <c r="C817" s="293">
        <v>0.15</v>
      </c>
      <c r="D817" s="292">
        <v>1.1999999999999999E-3</v>
      </c>
      <c r="E817" s="294">
        <v>0.15</v>
      </c>
      <c r="G817" s="16"/>
      <c r="H817" s="16"/>
      <c r="I817" s="7"/>
      <c r="J817" s="7"/>
      <c r="K817" s="7"/>
      <c r="L817" s="7"/>
      <c r="M817" s="7"/>
      <c r="N817" s="7"/>
      <c r="O817" s="7"/>
    </row>
    <row r="818" spans="1:18" x14ac:dyDescent="0.25">
      <c r="A818" s="297"/>
      <c r="B818" s="292"/>
      <c r="C818" s="295"/>
      <c r="D818" s="292"/>
      <c r="E818" s="296"/>
      <c r="G818" s="16"/>
      <c r="H818" s="16"/>
      <c r="I818" s="7"/>
      <c r="J818" s="7"/>
      <c r="K818" s="7"/>
      <c r="L818" s="7"/>
      <c r="M818" s="7"/>
      <c r="N818" s="7"/>
      <c r="O818" s="7"/>
    </row>
    <row r="819" spans="1:18" x14ac:dyDescent="0.25">
      <c r="A819" s="297"/>
      <c r="B819" s="292"/>
      <c r="C819" s="293"/>
      <c r="D819" s="292"/>
      <c r="E819" s="294"/>
      <c r="G819" s="16"/>
      <c r="H819" s="16"/>
      <c r="L819" s="7"/>
      <c r="M819" s="7"/>
      <c r="N819" s="7"/>
      <c r="O819" s="7"/>
    </row>
    <row r="820" spans="1:18" x14ac:dyDescent="0.25">
      <c r="A820" s="297"/>
      <c r="B820" s="292"/>
      <c r="C820" s="295"/>
      <c r="D820" s="292"/>
      <c r="E820" s="296"/>
      <c r="G820" s="16"/>
      <c r="H820" s="16"/>
      <c r="I820" s="7"/>
      <c r="J820" s="7"/>
      <c r="K820" s="7"/>
      <c r="L820" s="7"/>
      <c r="M820" s="7"/>
      <c r="N820" s="7"/>
      <c r="O820" s="7"/>
    </row>
    <row r="821" spans="1:18" x14ac:dyDescent="0.25">
      <c r="A821" s="448"/>
      <c r="B821" s="19"/>
      <c r="C821" s="19"/>
      <c r="D821" s="19"/>
      <c r="E821" s="447"/>
      <c r="G821" s="16"/>
      <c r="H821" s="16"/>
      <c r="I821" s="7"/>
      <c r="J821" s="7"/>
      <c r="K821" s="7"/>
      <c r="L821" s="7"/>
      <c r="M821" s="7"/>
      <c r="N821" s="7"/>
      <c r="O821" s="7"/>
    </row>
    <row r="822" spans="1:18" x14ac:dyDescent="0.25">
      <c r="A822" s="449" t="s">
        <v>362</v>
      </c>
      <c r="B822" s="21" t="s">
        <v>95</v>
      </c>
      <c r="C822" s="303">
        <v>0.25</v>
      </c>
      <c r="D822" s="21" t="s">
        <v>95</v>
      </c>
      <c r="E822" s="304">
        <v>1</v>
      </c>
      <c r="G822" s="16"/>
      <c r="H822" s="16"/>
      <c r="L822" s="7"/>
      <c r="M822" s="7"/>
      <c r="N822" s="7"/>
      <c r="O822" s="7"/>
    </row>
    <row r="823" spans="1:18" ht="25.5" x14ac:dyDescent="0.25">
      <c r="A823" s="465" t="s">
        <v>111</v>
      </c>
      <c r="B823" s="466" t="s">
        <v>70</v>
      </c>
      <c r="C823" s="466" t="s">
        <v>71</v>
      </c>
      <c r="D823" s="457" t="s">
        <v>70</v>
      </c>
      <c r="E823" s="24" t="s">
        <v>71</v>
      </c>
      <c r="G823" s="16"/>
      <c r="H823" s="16"/>
    </row>
    <row r="824" spans="1:18" ht="15.75" x14ac:dyDescent="0.25">
      <c r="A824" s="465"/>
      <c r="B824" s="466" t="s">
        <v>82</v>
      </c>
      <c r="C824" s="466" t="s">
        <v>83</v>
      </c>
      <c r="D824" s="457" t="s">
        <v>82</v>
      </c>
      <c r="E824" s="24" t="s">
        <v>83</v>
      </c>
      <c r="G824" s="16"/>
      <c r="H824" s="16"/>
      <c r="I824" s="3"/>
      <c r="J824" s="3"/>
      <c r="K824" s="3"/>
      <c r="L824" s="3"/>
      <c r="M824" s="3"/>
      <c r="N824" s="3"/>
      <c r="O824" s="3"/>
      <c r="P824" s="3"/>
      <c r="Q824" s="3"/>
      <c r="R824" s="3"/>
    </row>
    <row r="825" spans="1:18" x14ac:dyDescent="0.25">
      <c r="A825" s="450" t="s">
        <v>1</v>
      </c>
      <c r="B825" s="25" t="s">
        <v>1</v>
      </c>
      <c r="C825" s="25" t="s">
        <v>85</v>
      </c>
      <c r="D825" s="21" t="s">
        <v>1</v>
      </c>
      <c r="E825" s="451" t="s">
        <v>85</v>
      </c>
      <c r="G825" s="16"/>
      <c r="H825" s="16"/>
      <c r="L825" s="7"/>
      <c r="M825" s="7"/>
      <c r="N825" s="7"/>
      <c r="O825" s="7"/>
    </row>
    <row r="826" spans="1:18" x14ac:dyDescent="0.25">
      <c r="A826" s="450"/>
      <c r="B826" s="25"/>
      <c r="C826" s="25"/>
      <c r="D826" s="21"/>
      <c r="E826" s="451"/>
      <c r="G826" s="16"/>
      <c r="H826" s="16"/>
    </row>
    <row r="827" spans="1:18" x14ac:dyDescent="0.25">
      <c r="A827" s="291">
        <v>0.8</v>
      </c>
      <c r="B827" s="292">
        <v>1E-3</v>
      </c>
      <c r="C827" s="293">
        <v>0.13</v>
      </c>
      <c r="D827" s="292">
        <v>1E-3</v>
      </c>
      <c r="E827" s="294">
        <v>0.13</v>
      </c>
      <c r="G827" s="16"/>
      <c r="H827" s="16"/>
      <c r="I827" s="7"/>
      <c r="J827" s="7"/>
      <c r="K827" s="7"/>
      <c r="L827" s="7"/>
      <c r="M827" s="7"/>
      <c r="N827" s="7"/>
      <c r="O827" s="7"/>
    </row>
    <row r="828" spans="1:18" x14ac:dyDescent="0.25">
      <c r="A828" s="291">
        <v>1</v>
      </c>
      <c r="B828" s="292">
        <v>1.1000000000000001E-3</v>
      </c>
      <c r="C828" s="293">
        <v>0.14000000000000001</v>
      </c>
      <c r="D828" s="292">
        <v>1.1000000000000001E-3</v>
      </c>
      <c r="E828" s="294">
        <v>0.14000000000000001</v>
      </c>
      <c r="G828" s="16"/>
      <c r="H828" s="16"/>
      <c r="I828" s="7"/>
      <c r="J828" s="7"/>
      <c r="K828" s="7"/>
      <c r="L828" s="7"/>
      <c r="M828" s="7"/>
      <c r="N828" s="7"/>
      <c r="O828" s="7"/>
    </row>
    <row r="829" spans="1:18" x14ac:dyDescent="0.25">
      <c r="A829" s="291">
        <v>1.2</v>
      </c>
      <c r="B829" s="292">
        <v>1.1999999999999999E-3</v>
      </c>
      <c r="C829" s="293">
        <v>0.15</v>
      </c>
      <c r="D829" s="292">
        <v>1.1999999999999999E-3</v>
      </c>
      <c r="E829" s="294">
        <v>0.15</v>
      </c>
      <c r="G829" s="16"/>
      <c r="H829" s="16"/>
      <c r="L829" s="7"/>
      <c r="M829" s="7"/>
      <c r="N829" s="7"/>
      <c r="O829" s="7"/>
    </row>
    <row r="830" spans="1:18" x14ac:dyDescent="0.25">
      <c r="A830" s="291"/>
      <c r="B830" s="292"/>
      <c r="C830" s="293"/>
      <c r="D830" s="292"/>
      <c r="E830" s="294"/>
      <c r="G830" s="16"/>
      <c r="H830" s="16"/>
      <c r="I830" s="7"/>
      <c r="J830" s="7"/>
      <c r="K830" s="7"/>
      <c r="L830" s="7"/>
      <c r="M830" s="7"/>
      <c r="N830" s="7"/>
      <c r="O830" s="7"/>
    </row>
    <row r="831" spans="1:18" x14ac:dyDescent="0.25">
      <c r="A831" s="291"/>
      <c r="B831" s="292"/>
      <c r="C831" s="295"/>
      <c r="D831" s="292"/>
      <c r="E831" s="296"/>
      <c r="G831" s="16"/>
      <c r="H831" s="16"/>
      <c r="I831" s="7"/>
      <c r="J831" s="7"/>
      <c r="K831" s="7"/>
      <c r="L831" s="7"/>
      <c r="M831" s="7"/>
      <c r="N831" s="7"/>
      <c r="O831" s="7"/>
    </row>
    <row r="832" spans="1:18" x14ac:dyDescent="0.25">
      <c r="A832" s="297"/>
      <c r="B832" s="292"/>
      <c r="C832" s="295"/>
      <c r="D832" s="292"/>
      <c r="E832" s="296"/>
      <c r="G832" s="16"/>
      <c r="L832" s="7"/>
      <c r="M832" s="7"/>
      <c r="N832" s="7"/>
      <c r="O832" s="7"/>
    </row>
    <row r="833" spans="1:18" ht="15.75" thickBot="1" x14ac:dyDescent="0.3">
      <c r="A833" s="454"/>
      <c r="B833" s="455"/>
      <c r="C833" s="455"/>
      <c r="D833" s="455"/>
      <c r="E833" s="456"/>
      <c r="G833" s="16"/>
    </row>
    <row r="834" spans="1:18" ht="15.75" thickBot="1" x14ac:dyDescent="0.3">
      <c r="A834" s="454"/>
      <c r="B834" s="455"/>
      <c r="C834" s="455"/>
      <c r="D834" s="455"/>
      <c r="E834" s="456"/>
      <c r="G834" s="16"/>
      <c r="H834" s="16"/>
      <c r="I834" s="3"/>
      <c r="J834" s="3"/>
      <c r="K834" s="3"/>
      <c r="L834" s="3"/>
      <c r="M834" s="3"/>
      <c r="N834" s="3"/>
      <c r="O834" s="3"/>
      <c r="P834" s="3"/>
      <c r="Q834" s="3"/>
      <c r="R834" s="3"/>
    </row>
    <row r="835" spans="1:18" ht="21" x14ac:dyDescent="0.35">
      <c r="A835" s="404" t="s">
        <v>633</v>
      </c>
      <c r="B835" s="445"/>
      <c r="C835" s="445"/>
      <c r="D835" s="445"/>
      <c r="E835" s="446"/>
      <c r="G835" s="16"/>
      <c r="L835" s="7"/>
      <c r="O835" s="7"/>
      <c r="P835" s="7"/>
      <c r="Q835" s="7"/>
      <c r="R835" s="7"/>
    </row>
    <row r="836" spans="1:18" x14ac:dyDescent="0.25">
      <c r="A836" s="424"/>
      <c r="B836" s="7"/>
      <c r="C836" s="7"/>
      <c r="D836" s="7"/>
      <c r="E836" s="18"/>
      <c r="G836" s="16"/>
      <c r="O836" s="7"/>
      <c r="P836" s="7"/>
      <c r="Q836" s="7"/>
      <c r="R836" s="7"/>
    </row>
    <row r="837" spans="1:18" x14ac:dyDescent="0.25">
      <c r="A837" s="1424" t="s">
        <v>643</v>
      </c>
      <c r="B837" s="1425"/>
      <c r="C837" s="1425"/>
      <c r="D837" s="9"/>
      <c r="E837" s="283"/>
      <c r="L837" s="7"/>
      <c r="M837" s="7"/>
      <c r="N837" s="7"/>
      <c r="O837" s="7"/>
      <c r="P837" s="7"/>
      <c r="Q837" s="7"/>
      <c r="R837" s="7"/>
    </row>
    <row r="838" spans="1:18" x14ac:dyDescent="0.25">
      <c r="A838" s="1424" t="s">
        <v>644</v>
      </c>
      <c r="B838" s="1425"/>
      <c r="C838" s="1425"/>
      <c r="D838" s="9"/>
      <c r="E838" s="283" t="s">
        <v>1230</v>
      </c>
      <c r="L838" s="7"/>
      <c r="M838" s="7"/>
      <c r="N838" s="7"/>
      <c r="O838" s="7"/>
      <c r="P838" s="7"/>
      <c r="Q838" s="7"/>
      <c r="R838" s="7"/>
    </row>
    <row r="839" spans="1:18" x14ac:dyDescent="0.25">
      <c r="A839" s="424"/>
      <c r="B839" s="7"/>
      <c r="C839" s="9" t="s">
        <v>645</v>
      </c>
      <c r="D839" s="9" t="s">
        <v>84</v>
      </c>
      <c r="E839" s="298">
        <v>1.56</v>
      </c>
      <c r="L839" s="7"/>
      <c r="M839" s="7"/>
      <c r="N839" s="7"/>
      <c r="O839" s="7"/>
      <c r="P839" s="7"/>
      <c r="Q839" s="7"/>
      <c r="R839" s="7"/>
    </row>
    <row r="840" spans="1:18" x14ac:dyDescent="0.25">
      <c r="A840" s="424"/>
      <c r="B840" s="7"/>
      <c r="C840" s="9" t="s">
        <v>646</v>
      </c>
      <c r="D840" s="9" t="s">
        <v>84</v>
      </c>
      <c r="E840" s="298">
        <v>1.62</v>
      </c>
      <c r="G840" s="16"/>
      <c r="K840" s="7"/>
      <c r="L840" s="7"/>
      <c r="M840" s="7"/>
      <c r="N840" s="7"/>
      <c r="O840" s="7"/>
      <c r="P840" s="7"/>
      <c r="Q840" s="7"/>
      <c r="R840" s="7"/>
    </row>
    <row r="841" spans="1:18" x14ac:dyDescent="0.25">
      <c r="A841" s="424"/>
      <c r="B841" s="7"/>
      <c r="C841" s="9" t="s">
        <v>647</v>
      </c>
      <c r="D841" s="9" t="s">
        <v>84</v>
      </c>
      <c r="E841" s="298">
        <v>1.61</v>
      </c>
      <c r="K841" s="7"/>
      <c r="L841" s="7"/>
      <c r="M841" s="7"/>
      <c r="N841" s="7"/>
      <c r="O841" s="7"/>
      <c r="P841" s="7"/>
      <c r="Q841" s="7"/>
      <c r="R841" s="7"/>
    </row>
    <row r="842" spans="1:18" x14ac:dyDescent="0.25">
      <c r="A842" s="424"/>
      <c r="B842" s="7"/>
      <c r="C842" s="7"/>
      <c r="D842" s="7"/>
      <c r="E842" s="18"/>
      <c r="H842" s="16"/>
      <c r="L842" s="7"/>
      <c r="M842" s="7"/>
      <c r="N842" s="7"/>
      <c r="O842" s="7"/>
      <c r="P842" s="7"/>
      <c r="Q842" s="7"/>
      <c r="R842" s="7"/>
    </row>
    <row r="843" spans="1:18" x14ac:dyDescent="0.25">
      <c r="A843" s="458" t="s">
        <v>628</v>
      </c>
      <c r="B843" s="19"/>
      <c r="C843" s="19"/>
      <c r="D843" s="19"/>
      <c r="E843" s="447"/>
      <c r="H843" s="16"/>
      <c r="O843" s="7"/>
      <c r="P843" s="7"/>
      <c r="Q843" s="7"/>
      <c r="R843" s="7"/>
    </row>
    <row r="844" spans="1:18" x14ac:dyDescent="0.25">
      <c r="A844" s="1424" t="s">
        <v>629</v>
      </c>
      <c r="B844" s="1425"/>
      <c r="C844" s="1425"/>
      <c r="D844" s="295"/>
      <c r="E844" s="447" t="s">
        <v>20</v>
      </c>
      <c r="H844" s="16"/>
      <c r="I844" s="3"/>
      <c r="J844" s="3"/>
      <c r="K844" s="3"/>
      <c r="L844" s="3"/>
      <c r="M844" s="3"/>
      <c r="N844" s="3"/>
      <c r="O844" s="7"/>
      <c r="P844" s="7"/>
      <c r="Q844" s="7"/>
      <c r="R844" s="7"/>
    </row>
    <row r="845" spans="1:18" x14ac:dyDescent="0.25">
      <c r="A845" s="1424" t="s">
        <v>630</v>
      </c>
      <c r="B845" s="1425"/>
      <c r="C845" s="1425"/>
      <c r="D845" s="295"/>
      <c r="E845" s="447" t="s">
        <v>61</v>
      </c>
      <c r="O845" s="7"/>
      <c r="P845" s="7"/>
      <c r="Q845" s="7"/>
      <c r="R845" s="7"/>
    </row>
    <row r="846" spans="1:18" x14ac:dyDescent="0.25">
      <c r="A846" s="1430" t="s">
        <v>664</v>
      </c>
      <c r="B846" s="1431"/>
      <c r="C846" s="1431"/>
      <c r="D846" s="1432"/>
      <c r="E846" s="447"/>
      <c r="O846" s="7"/>
      <c r="P846" s="7"/>
      <c r="Q846" s="7"/>
      <c r="R846" s="7"/>
    </row>
    <row r="847" spans="1:18" ht="38.25" x14ac:dyDescent="0.25">
      <c r="A847" s="1420" t="s">
        <v>129</v>
      </c>
      <c r="B847" s="1421"/>
      <c r="C847" s="23" t="s">
        <v>378</v>
      </c>
      <c r="D847" s="23" t="s">
        <v>131</v>
      </c>
      <c r="E847" s="24" t="s">
        <v>661</v>
      </c>
      <c r="H847" s="7"/>
      <c r="I847" s="7"/>
      <c r="J847" s="7"/>
      <c r="K847" s="7"/>
      <c r="L847" s="7"/>
      <c r="M847" s="7"/>
      <c r="N847" s="7"/>
      <c r="O847" s="7"/>
    </row>
    <row r="848" spans="1:18" x14ac:dyDescent="0.25">
      <c r="A848" s="1422"/>
      <c r="B848" s="1423"/>
      <c r="C848" s="23"/>
      <c r="D848" s="23" t="s">
        <v>135</v>
      </c>
      <c r="E848" s="24" t="s">
        <v>136</v>
      </c>
      <c r="G848" s="16"/>
      <c r="H848" s="7"/>
      <c r="I848" s="7"/>
      <c r="J848" s="7"/>
      <c r="K848" s="7"/>
      <c r="L848" s="7"/>
      <c r="M848" s="7"/>
      <c r="N848" s="7"/>
      <c r="O848" s="7"/>
    </row>
    <row r="849" spans="1:18" x14ac:dyDescent="0.25">
      <c r="A849" s="1422"/>
      <c r="B849" s="1423"/>
      <c r="C849" s="25" t="s">
        <v>140</v>
      </c>
      <c r="D849" s="32" t="s">
        <v>142</v>
      </c>
      <c r="E849" s="459" t="s">
        <v>143</v>
      </c>
      <c r="G849" s="7"/>
      <c r="H849" s="7"/>
      <c r="I849" s="7"/>
      <c r="J849" s="7"/>
      <c r="K849" s="7"/>
      <c r="L849" s="7"/>
      <c r="M849" s="7"/>
      <c r="N849" s="7"/>
      <c r="O849" s="7"/>
    </row>
    <row r="850" spans="1:18" x14ac:dyDescent="0.25">
      <c r="A850" s="1422" t="s">
        <v>636</v>
      </c>
      <c r="B850" s="1423"/>
      <c r="C850" s="295"/>
      <c r="D850" s="460">
        <f>IF(C850="",0,LOOKUP(C850,TABELLE!$B$165:$B$173,TABELLE!$C$165:$C$173))</f>
        <v>0</v>
      </c>
      <c r="E850" s="296"/>
      <c r="G850" s="7"/>
      <c r="H850" s="7"/>
      <c r="I850" s="7"/>
      <c r="J850" s="7"/>
      <c r="K850" s="7"/>
      <c r="L850" s="7"/>
      <c r="M850" s="7"/>
      <c r="N850" s="7"/>
      <c r="O850" s="7"/>
    </row>
    <row r="851" spans="1:18" x14ac:dyDescent="0.25">
      <c r="A851" s="1422" t="s">
        <v>637</v>
      </c>
      <c r="B851" s="1423"/>
      <c r="C851" s="295"/>
      <c r="D851" s="460">
        <f>IF(C851="",0,LOOKUP(C851,TABELLE!$B$165:$B$173,TABELLE!$C$165:$C$173))</f>
        <v>0</v>
      </c>
      <c r="E851" s="296"/>
      <c r="G851" s="7"/>
      <c r="H851" s="7"/>
      <c r="I851" s="7"/>
      <c r="J851" s="7"/>
      <c r="K851" s="7"/>
      <c r="L851" s="7"/>
      <c r="M851" s="7"/>
      <c r="N851" s="7"/>
      <c r="O851" s="7"/>
    </row>
    <row r="852" spans="1:18" x14ac:dyDescent="0.25">
      <c r="A852" s="1422" t="s">
        <v>638</v>
      </c>
      <c r="B852" s="1423"/>
      <c r="C852" s="295"/>
      <c r="D852" s="460">
        <f>IF(C852="",0,LOOKUP(C852,TABELLE!$B$165:$B$173,TABELLE!$C$165:$C$173))</f>
        <v>0</v>
      </c>
      <c r="E852" s="296"/>
      <c r="G852" s="7"/>
      <c r="H852" s="7"/>
      <c r="I852" s="7"/>
      <c r="J852" s="7"/>
      <c r="K852" s="7"/>
      <c r="L852" s="7"/>
      <c r="M852" s="7"/>
      <c r="N852" s="7"/>
      <c r="O852" s="7"/>
    </row>
    <row r="853" spans="1:18" x14ac:dyDescent="0.25">
      <c r="A853" s="1422" t="s">
        <v>639</v>
      </c>
      <c r="B853" s="1423"/>
      <c r="C853" s="295"/>
      <c r="D853" s="460">
        <f>IF(C853="",0,LOOKUP(C853,TABELLE!$B$165:$B$173,TABELLE!$C$165:$C$173))</f>
        <v>0</v>
      </c>
      <c r="E853" s="296"/>
      <c r="G853" s="7"/>
      <c r="H853" s="7"/>
      <c r="I853" s="7"/>
      <c r="J853" s="7"/>
      <c r="K853" s="7"/>
    </row>
    <row r="854" spans="1:18" x14ac:dyDescent="0.25">
      <c r="A854" s="1417" t="s">
        <v>634</v>
      </c>
      <c r="B854" s="1418"/>
      <c r="C854" s="1418"/>
      <c r="D854" s="1419"/>
      <c r="E854" s="451">
        <f>2*(D850*E850+D851*E851+D852*E852+D853*E853)/1000</f>
        <v>0</v>
      </c>
      <c r="G854" s="7"/>
      <c r="H854" s="7"/>
      <c r="I854" s="7"/>
      <c r="J854" s="7"/>
      <c r="K854" s="7"/>
      <c r="L854" s="3"/>
      <c r="M854" s="3"/>
      <c r="N854" s="3"/>
      <c r="O854" s="3"/>
      <c r="P854" s="3"/>
      <c r="Q854" s="3"/>
      <c r="R854" s="3"/>
    </row>
    <row r="855" spans="1:18" x14ac:dyDescent="0.25">
      <c r="A855" s="1424" t="s">
        <v>631</v>
      </c>
      <c r="B855" s="1425"/>
      <c r="C855" s="1425"/>
      <c r="D855" s="353" t="s">
        <v>20</v>
      </c>
      <c r="E855" s="33">
        <f>$O$152</f>
        <v>5</v>
      </c>
      <c r="G855" s="7"/>
      <c r="H855" s="7"/>
      <c r="I855" s="7"/>
      <c r="J855" s="7"/>
      <c r="K855" s="7"/>
      <c r="L855" s="7"/>
    </row>
    <row r="856" spans="1:18" x14ac:dyDescent="0.25">
      <c r="A856" s="1426" t="s">
        <v>632</v>
      </c>
      <c r="B856" s="1427"/>
      <c r="C856" s="1427"/>
      <c r="D856" s="353" t="s">
        <v>84</v>
      </c>
      <c r="E856" s="461" t="e">
        <f>ROUND(((D845+E854*D844)*D844)*E855^2/D844^2,2)</f>
        <v>#DIV/0!</v>
      </c>
      <c r="G856" s="7"/>
      <c r="H856" s="7"/>
      <c r="I856" s="7"/>
      <c r="J856" s="7"/>
      <c r="K856" s="7"/>
    </row>
    <row r="857" spans="1:18" x14ac:dyDescent="0.25">
      <c r="A857" s="424"/>
      <c r="B857" s="7"/>
      <c r="C857" s="7"/>
      <c r="D857" s="7"/>
      <c r="E857" s="18"/>
      <c r="G857" s="7"/>
      <c r="H857" s="7"/>
      <c r="I857" s="7"/>
      <c r="J857" s="7"/>
      <c r="K857" s="7"/>
      <c r="L857" s="7"/>
      <c r="M857" s="7"/>
      <c r="N857" s="7"/>
      <c r="O857" s="7"/>
    </row>
    <row r="858" spans="1:18" x14ac:dyDescent="0.25">
      <c r="A858" s="458" t="s">
        <v>635</v>
      </c>
      <c r="B858" s="19"/>
      <c r="C858" s="19"/>
      <c r="D858" s="19"/>
      <c r="E858" s="447"/>
      <c r="G858" s="7"/>
      <c r="H858" s="7"/>
      <c r="I858" s="7"/>
      <c r="J858" s="7"/>
      <c r="K858" s="7"/>
      <c r="L858" s="7"/>
      <c r="M858" s="7"/>
      <c r="N858" s="7"/>
      <c r="O858" s="7"/>
    </row>
    <row r="859" spans="1:18" x14ac:dyDescent="0.25">
      <c r="A859" s="1424" t="s">
        <v>629</v>
      </c>
      <c r="B859" s="1425"/>
      <c r="C859" s="1425"/>
      <c r="D859" s="295"/>
      <c r="E859" s="447" t="s">
        <v>20</v>
      </c>
      <c r="G859" s="7"/>
      <c r="H859" s="7"/>
      <c r="I859" s="7"/>
      <c r="J859" s="7"/>
      <c r="K859" s="7"/>
      <c r="L859" s="7"/>
      <c r="M859" s="7"/>
      <c r="N859" s="7"/>
      <c r="O859" s="7"/>
    </row>
    <row r="860" spans="1:18" x14ac:dyDescent="0.25">
      <c r="A860" s="1424" t="s">
        <v>630</v>
      </c>
      <c r="B860" s="1425"/>
      <c r="C860" s="1425"/>
      <c r="D860" s="295"/>
      <c r="E860" s="447" t="s">
        <v>61</v>
      </c>
      <c r="G860" s="7"/>
      <c r="H860" s="7"/>
      <c r="I860" s="7"/>
      <c r="J860" s="7"/>
      <c r="K860" s="7"/>
      <c r="L860" s="7"/>
      <c r="M860" s="7"/>
      <c r="N860" s="7"/>
      <c r="O860" s="7"/>
    </row>
    <row r="861" spans="1:18" x14ac:dyDescent="0.25">
      <c r="A861" s="1430" t="s">
        <v>664</v>
      </c>
      <c r="B861" s="1431"/>
      <c r="C861" s="1431"/>
      <c r="D861" s="1432"/>
      <c r="E861" s="447"/>
      <c r="G861" s="7"/>
      <c r="H861" s="7"/>
      <c r="I861" s="7"/>
      <c r="J861" s="7"/>
      <c r="K861" s="7"/>
      <c r="L861" s="7"/>
      <c r="M861" s="7"/>
      <c r="N861" s="7"/>
      <c r="O861" s="7"/>
    </row>
    <row r="862" spans="1:18" ht="38.25" x14ac:dyDescent="0.25">
      <c r="A862" s="1420" t="s">
        <v>129</v>
      </c>
      <c r="B862" s="1421"/>
      <c r="C862" s="23" t="s">
        <v>378</v>
      </c>
      <c r="D862" s="23" t="s">
        <v>131</v>
      </c>
      <c r="E862" s="24" t="s">
        <v>661</v>
      </c>
      <c r="G862" s="7"/>
      <c r="H862" s="7"/>
      <c r="I862" s="7"/>
      <c r="J862" s="7"/>
      <c r="K862" s="7"/>
      <c r="L862" s="7"/>
      <c r="M862" s="7"/>
      <c r="N862" s="7"/>
      <c r="O862" s="7"/>
    </row>
    <row r="863" spans="1:18" x14ac:dyDescent="0.25">
      <c r="A863" s="1422"/>
      <c r="B863" s="1423"/>
      <c r="C863" s="23"/>
      <c r="D863" s="23" t="s">
        <v>135</v>
      </c>
      <c r="E863" s="24" t="s">
        <v>136</v>
      </c>
      <c r="G863" s="7"/>
      <c r="H863" s="7"/>
      <c r="I863" s="7"/>
      <c r="J863" s="7"/>
      <c r="K863" s="7"/>
    </row>
    <row r="864" spans="1:18" x14ac:dyDescent="0.25">
      <c r="A864" s="1422"/>
      <c r="B864" s="1423"/>
      <c r="C864" s="25" t="s">
        <v>140</v>
      </c>
      <c r="D864" s="32" t="s">
        <v>142</v>
      </c>
      <c r="E864" s="459" t="s">
        <v>143</v>
      </c>
      <c r="G864" s="7"/>
      <c r="H864" s="7"/>
      <c r="I864" s="7"/>
      <c r="J864" s="7"/>
      <c r="K864" s="7"/>
      <c r="L864" s="3"/>
      <c r="M864" s="3"/>
      <c r="N864" s="3"/>
      <c r="O864" s="3"/>
      <c r="P864" s="3"/>
      <c r="Q864" s="3"/>
      <c r="R864" s="3"/>
    </row>
    <row r="865" spans="1:18" x14ac:dyDescent="0.25">
      <c r="A865" s="1422" t="s">
        <v>636</v>
      </c>
      <c r="B865" s="1423"/>
      <c r="C865" s="295"/>
      <c r="D865" s="460">
        <f>IF(C865="",0,LOOKUP(C865,TABELLE!$B$165:$B$173,TABELLE!$C$165:$C$173))</f>
        <v>0</v>
      </c>
      <c r="E865" s="296"/>
      <c r="G865" s="7"/>
      <c r="H865" s="7"/>
      <c r="I865" s="7"/>
      <c r="J865" s="7"/>
      <c r="K865" s="7"/>
    </row>
    <row r="866" spans="1:18" x14ac:dyDescent="0.25">
      <c r="A866" s="1422" t="s">
        <v>637</v>
      </c>
      <c r="B866" s="1423"/>
      <c r="C866" s="295"/>
      <c r="D866" s="460">
        <f>IF(C866="",0,LOOKUP(C866,TABELLE!$B$165:$B$173,TABELLE!$C$165:$C$173))</f>
        <v>0</v>
      </c>
      <c r="E866" s="296"/>
      <c r="G866" s="7"/>
      <c r="H866" s="7"/>
      <c r="I866" s="7"/>
      <c r="J866" s="7"/>
      <c r="K866" s="7"/>
    </row>
    <row r="867" spans="1:18" x14ac:dyDescent="0.25">
      <c r="A867" s="1422" t="s">
        <v>638</v>
      </c>
      <c r="B867" s="1423"/>
      <c r="C867" s="295"/>
      <c r="D867" s="460">
        <f>IF(C867="",0,LOOKUP(C867,TABELLE!$B$165:$B$173,TABELLE!$C$165:$C$173))</f>
        <v>0</v>
      </c>
      <c r="E867" s="296"/>
      <c r="G867" s="7"/>
      <c r="H867" s="7"/>
      <c r="I867" s="7"/>
      <c r="J867" s="7"/>
      <c r="K867" s="7"/>
      <c r="L867" s="7"/>
      <c r="M867" s="7"/>
      <c r="N867" s="7"/>
      <c r="O867" s="7"/>
    </row>
    <row r="868" spans="1:18" x14ac:dyDescent="0.25">
      <c r="A868" s="1422" t="s">
        <v>639</v>
      </c>
      <c r="B868" s="1423"/>
      <c r="C868" s="295"/>
      <c r="D868" s="460">
        <f>IF(C868="",0,LOOKUP(C868,TABELLE!$B$165:$B$173,TABELLE!$C$165:$C$173))</f>
        <v>0</v>
      </c>
      <c r="E868" s="296"/>
      <c r="H868" s="7"/>
      <c r="I868" s="7"/>
      <c r="J868" s="7"/>
      <c r="K868" s="7"/>
      <c r="L868" s="7"/>
      <c r="M868" s="7"/>
      <c r="N868" s="7"/>
      <c r="O868" s="7"/>
    </row>
    <row r="869" spans="1:18" x14ac:dyDescent="0.25">
      <c r="A869" s="1417" t="s">
        <v>634</v>
      </c>
      <c r="B869" s="1418"/>
      <c r="C869" s="1418"/>
      <c r="D869" s="1419"/>
      <c r="E869" s="451">
        <f>2*(D865*E865+D866*E866+D867*E867+D868*E868)/1000</f>
        <v>0</v>
      </c>
      <c r="L869" s="7"/>
      <c r="M869" s="7"/>
      <c r="N869" s="7"/>
      <c r="O869" s="7"/>
    </row>
    <row r="870" spans="1:18" x14ac:dyDescent="0.25">
      <c r="A870" s="1424" t="s">
        <v>631</v>
      </c>
      <c r="B870" s="1425"/>
      <c r="C870" s="1425"/>
      <c r="D870" s="353" t="s">
        <v>20</v>
      </c>
      <c r="E870" s="33">
        <f>$O$152</f>
        <v>5</v>
      </c>
      <c r="G870" s="3"/>
      <c r="M870" s="7"/>
      <c r="N870" s="7"/>
      <c r="O870" s="7"/>
    </row>
    <row r="871" spans="1:18" x14ac:dyDescent="0.25">
      <c r="A871" s="1426" t="s">
        <v>640</v>
      </c>
      <c r="B871" s="1427"/>
      <c r="C871" s="1427"/>
      <c r="D871" s="353" t="s">
        <v>84</v>
      </c>
      <c r="E871" s="461" t="e">
        <f>ROUND(((D860+E869*D859)*D859)*E870^2/D859^2,2)</f>
        <v>#DIV/0!</v>
      </c>
      <c r="M871" s="7"/>
      <c r="N871" s="7"/>
      <c r="O871" s="7"/>
    </row>
    <row r="872" spans="1:18" x14ac:dyDescent="0.25">
      <c r="A872" s="424"/>
      <c r="B872" s="7"/>
      <c r="C872" s="7"/>
      <c r="D872" s="7"/>
      <c r="E872" s="18"/>
      <c r="M872" s="7"/>
      <c r="N872" s="7"/>
      <c r="O872" s="7"/>
    </row>
    <row r="873" spans="1:18" x14ac:dyDescent="0.25">
      <c r="A873" s="458" t="s">
        <v>642</v>
      </c>
      <c r="B873" s="19"/>
      <c r="C873" s="19"/>
      <c r="D873" s="19"/>
      <c r="E873" s="447"/>
      <c r="G873" s="7"/>
    </row>
    <row r="874" spans="1:18" x14ac:dyDescent="0.25">
      <c r="A874" s="1424" t="s">
        <v>629</v>
      </c>
      <c r="B874" s="1425"/>
      <c r="C874" s="1425"/>
      <c r="D874" s="295"/>
      <c r="E874" s="447" t="s">
        <v>20</v>
      </c>
      <c r="G874" s="7"/>
      <c r="H874" s="3"/>
      <c r="I874" s="3"/>
      <c r="J874" s="3"/>
      <c r="K874" s="3"/>
      <c r="L874" s="3"/>
      <c r="M874" s="3"/>
      <c r="N874" s="3"/>
      <c r="O874" s="3"/>
      <c r="P874" s="3"/>
      <c r="Q874" s="3"/>
      <c r="R874" s="3"/>
    </row>
    <row r="875" spans="1:18" x14ac:dyDescent="0.25">
      <c r="A875" s="1424" t="s">
        <v>630</v>
      </c>
      <c r="B875" s="1425"/>
      <c r="C875" s="1425"/>
      <c r="D875" s="295"/>
      <c r="E875" s="447" t="s">
        <v>61</v>
      </c>
    </row>
    <row r="876" spans="1:18" x14ac:dyDescent="0.25">
      <c r="A876" s="1430" t="s">
        <v>664</v>
      </c>
      <c r="B876" s="1431"/>
      <c r="C876" s="1431"/>
      <c r="D876" s="1432"/>
      <c r="E876" s="447"/>
      <c r="G876" s="7"/>
    </row>
    <row r="877" spans="1:18" ht="38.25" x14ac:dyDescent="0.25">
      <c r="A877" s="1420" t="s">
        <v>129</v>
      </c>
      <c r="B877" s="1421"/>
      <c r="C877" s="23" t="s">
        <v>378</v>
      </c>
      <c r="D877" s="23" t="s">
        <v>131</v>
      </c>
      <c r="E877" s="24" t="s">
        <v>661</v>
      </c>
      <c r="G877" s="7"/>
      <c r="M877" s="7"/>
      <c r="N877" s="7"/>
      <c r="O877" s="7"/>
    </row>
    <row r="878" spans="1:18" x14ac:dyDescent="0.25">
      <c r="A878" s="1422"/>
      <c r="B878" s="1423"/>
      <c r="C878" s="23"/>
      <c r="D878" s="23" t="s">
        <v>135</v>
      </c>
      <c r="E878" s="24" t="s">
        <v>136</v>
      </c>
      <c r="M878" s="7"/>
      <c r="N878" s="7"/>
      <c r="O878" s="7"/>
    </row>
    <row r="879" spans="1:18" x14ac:dyDescent="0.25">
      <c r="A879" s="1422"/>
      <c r="B879" s="1423"/>
      <c r="C879" s="25" t="s">
        <v>140</v>
      </c>
      <c r="D879" s="32" t="s">
        <v>142</v>
      </c>
      <c r="E879" s="459" t="s">
        <v>143</v>
      </c>
      <c r="M879" s="7"/>
      <c r="N879" s="7"/>
      <c r="O879" s="7"/>
    </row>
    <row r="880" spans="1:18" x14ac:dyDescent="0.25">
      <c r="A880" s="1422" t="s">
        <v>636</v>
      </c>
      <c r="B880" s="1423"/>
      <c r="C880" s="295"/>
      <c r="D880" s="460">
        <f>IF(C880="",0,LOOKUP(C880,TABELLE!$B$165:$B$173,TABELLE!$C$165:$C$173))</f>
        <v>0</v>
      </c>
      <c r="E880" s="296"/>
      <c r="G880" s="3"/>
      <c r="M880" s="7"/>
      <c r="N880" s="7"/>
      <c r="O880" s="7"/>
    </row>
    <row r="881" spans="1:18" x14ac:dyDescent="0.25">
      <c r="A881" s="1422" t="s">
        <v>637</v>
      </c>
      <c r="B881" s="1423"/>
      <c r="C881" s="295"/>
      <c r="D881" s="460">
        <f>IF(C881="",0,LOOKUP(C881,TABELLE!$B$165:$B$173,TABELLE!$C$165:$C$173))</f>
        <v>0</v>
      </c>
      <c r="E881" s="296"/>
      <c r="M881" s="7"/>
      <c r="N881" s="7"/>
      <c r="O881" s="7"/>
    </row>
    <row r="882" spans="1:18" x14ac:dyDescent="0.25">
      <c r="A882" s="1422" t="s">
        <v>638</v>
      </c>
      <c r="B882" s="1423"/>
      <c r="C882" s="295"/>
      <c r="D882" s="460">
        <f>IF(C882="",0,LOOKUP(C882,TABELLE!$B$165:$B$173,TABELLE!$C$165:$C$173))</f>
        <v>0</v>
      </c>
      <c r="E882" s="296"/>
      <c r="M882" s="7"/>
      <c r="N882" s="7"/>
      <c r="O882" s="7"/>
    </row>
    <row r="883" spans="1:18" x14ac:dyDescent="0.25">
      <c r="A883" s="1422" t="s">
        <v>639</v>
      </c>
      <c r="B883" s="1423"/>
      <c r="C883" s="295"/>
      <c r="D883" s="460">
        <f>IF(C883="",0,LOOKUP(C883,TABELLE!$B$165:$B$173,TABELLE!$C$165:$C$173))</f>
        <v>0</v>
      </c>
      <c r="E883" s="296"/>
      <c r="G883" s="7"/>
    </row>
    <row r="884" spans="1:18" x14ac:dyDescent="0.25">
      <c r="A884" s="1417" t="s">
        <v>634</v>
      </c>
      <c r="B884" s="1418"/>
      <c r="C884" s="1418"/>
      <c r="D884" s="1419"/>
      <c r="E884" s="451">
        <f>2*(D880*E880+D881*E881+D882*E882+D883*E883)/1000</f>
        <v>0</v>
      </c>
      <c r="G884" s="7"/>
      <c r="H884" s="3"/>
      <c r="I884" s="3"/>
      <c r="J884" s="3"/>
      <c r="K884" s="3"/>
      <c r="L884" s="3"/>
      <c r="M884" s="3"/>
      <c r="N884" s="3"/>
      <c r="O884" s="3"/>
      <c r="P884" s="3"/>
      <c r="Q884" s="3"/>
      <c r="R884" s="3"/>
    </row>
    <row r="885" spans="1:18" x14ac:dyDescent="0.25">
      <c r="A885" s="1424" t="s">
        <v>631</v>
      </c>
      <c r="B885" s="1425"/>
      <c r="C885" s="1425"/>
      <c r="D885" s="353" t="s">
        <v>20</v>
      </c>
      <c r="E885" s="33">
        <f>$O$152</f>
        <v>5</v>
      </c>
    </row>
    <row r="886" spans="1:18" ht="15.75" thickBot="1" x14ac:dyDescent="0.3">
      <c r="A886" s="1433" t="s">
        <v>641</v>
      </c>
      <c r="B886" s="1434"/>
      <c r="C886" s="1434"/>
      <c r="D886" s="34" t="s">
        <v>84</v>
      </c>
      <c r="E886" s="462" t="e">
        <f>ROUND(((D875+E884*D874)*D874)*E885^2/D874^2,2)</f>
        <v>#DIV/0!</v>
      </c>
      <c r="G886" s="7"/>
    </row>
    <row r="887" spans="1:18" ht="15.75" thickBot="1" x14ac:dyDescent="0.3">
      <c r="A887" s="424"/>
      <c r="B887" s="7"/>
      <c r="C887" s="7"/>
      <c r="D887" s="7"/>
      <c r="E887" s="18"/>
      <c r="G887" s="7"/>
      <c r="M887" s="7"/>
      <c r="N887" s="7"/>
      <c r="O887" s="7"/>
    </row>
    <row r="888" spans="1:18" ht="21" x14ac:dyDescent="0.35">
      <c r="A888" s="404" t="s">
        <v>648</v>
      </c>
      <c r="B888" s="445"/>
      <c r="C888" s="445"/>
      <c r="D888" s="445"/>
      <c r="E888" s="446"/>
      <c r="M888" s="7"/>
      <c r="N888" s="7"/>
      <c r="O888" s="7"/>
    </row>
    <row r="889" spans="1:18" x14ac:dyDescent="0.25">
      <c r="A889" s="424"/>
      <c r="B889" s="7"/>
      <c r="C889" s="7"/>
      <c r="D889" s="7"/>
      <c r="E889" s="18"/>
      <c r="M889" s="7"/>
      <c r="N889" s="7"/>
      <c r="O889" s="7"/>
    </row>
    <row r="890" spans="1:18" x14ac:dyDescent="0.25">
      <c r="A890" s="1424" t="s">
        <v>649</v>
      </c>
      <c r="B890" s="1425"/>
      <c r="C890" s="1425"/>
      <c r="D890" s="9"/>
      <c r="E890" s="283"/>
      <c r="G890" s="3"/>
      <c r="M890" s="7"/>
      <c r="N890" s="7"/>
      <c r="O890" s="7"/>
    </row>
    <row r="891" spans="1:18" x14ac:dyDescent="0.25">
      <c r="A891" s="1424" t="s">
        <v>650</v>
      </c>
      <c r="B891" s="1425"/>
      <c r="C891" s="1425"/>
      <c r="D891" s="9"/>
      <c r="E891" s="283" t="s">
        <v>1230</v>
      </c>
      <c r="M891" s="7"/>
      <c r="N891" s="7"/>
      <c r="O891" s="7"/>
    </row>
    <row r="892" spans="1:18" x14ac:dyDescent="0.25">
      <c r="A892" s="424"/>
      <c r="B892" s="7"/>
      <c r="C892" s="9" t="s">
        <v>651</v>
      </c>
      <c r="D892" s="9" t="s">
        <v>84</v>
      </c>
      <c r="E892" s="298">
        <v>0.98</v>
      </c>
      <c r="M892" s="7"/>
      <c r="N892" s="7"/>
      <c r="O892" s="7"/>
    </row>
    <row r="893" spans="1:18" x14ac:dyDescent="0.25">
      <c r="A893" s="424"/>
      <c r="B893" s="7"/>
      <c r="C893" s="9" t="s">
        <v>652</v>
      </c>
      <c r="D893" s="9" t="s">
        <v>84</v>
      </c>
      <c r="E893" s="298">
        <v>0.96</v>
      </c>
      <c r="G893" s="7"/>
    </row>
    <row r="894" spans="1:18" x14ac:dyDescent="0.25">
      <c r="A894" s="424"/>
      <c r="B894" s="7"/>
      <c r="C894" s="9" t="s">
        <v>653</v>
      </c>
      <c r="D894" s="9" t="s">
        <v>84</v>
      </c>
      <c r="E894" s="298">
        <v>0.97</v>
      </c>
      <c r="G894" s="7"/>
      <c r="H894" s="3"/>
      <c r="I894" s="3"/>
      <c r="J894" s="3"/>
      <c r="K894" s="3"/>
      <c r="L894" s="3"/>
      <c r="M894" s="3"/>
      <c r="N894" s="3"/>
      <c r="O894" s="3"/>
      <c r="P894" s="3"/>
      <c r="Q894" s="3"/>
      <c r="R894" s="3"/>
    </row>
    <row r="895" spans="1:18" x14ac:dyDescent="0.25">
      <c r="A895" s="424"/>
      <c r="B895" s="7"/>
      <c r="C895" s="7"/>
      <c r="D895" s="7"/>
      <c r="E895" s="18"/>
    </row>
    <row r="896" spans="1:18" x14ac:dyDescent="0.25">
      <c r="A896" s="458" t="s">
        <v>123</v>
      </c>
      <c r="B896" s="19"/>
      <c r="C896" s="19"/>
      <c r="D896" s="19"/>
      <c r="E896" s="447"/>
      <c r="G896" s="7"/>
    </row>
    <row r="897" spans="1:18" x14ac:dyDescent="0.25">
      <c r="A897" s="1424" t="s">
        <v>654</v>
      </c>
      <c r="B897" s="1425"/>
      <c r="C897" s="1425"/>
      <c r="D897" s="295"/>
      <c r="E897" s="447" t="s">
        <v>20</v>
      </c>
      <c r="G897" s="7"/>
      <c r="M897" s="7"/>
      <c r="N897" s="7"/>
      <c r="O897" s="7"/>
    </row>
    <row r="898" spans="1:18" x14ac:dyDescent="0.25">
      <c r="A898" s="1424" t="s">
        <v>655</v>
      </c>
      <c r="B898" s="1425"/>
      <c r="C898" s="1425"/>
      <c r="D898" s="295"/>
      <c r="E898" s="447" t="s">
        <v>61</v>
      </c>
      <c r="M898" s="7"/>
      <c r="N898" s="7"/>
      <c r="O898" s="7"/>
    </row>
    <row r="899" spans="1:18" x14ac:dyDescent="0.25">
      <c r="A899" s="1430" t="s">
        <v>663</v>
      </c>
      <c r="B899" s="1431"/>
      <c r="C899" s="1431"/>
      <c r="D899" s="1432"/>
      <c r="E899" s="447"/>
      <c r="M899" s="7"/>
      <c r="N899" s="7"/>
      <c r="O899" s="7"/>
    </row>
    <row r="900" spans="1:18" ht="38.25" x14ac:dyDescent="0.25">
      <c r="A900" s="1420" t="s">
        <v>129</v>
      </c>
      <c r="B900" s="1421"/>
      <c r="C900" s="23" t="s">
        <v>378</v>
      </c>
      <c r="D900" s="23" t="s">
        <v>131</v>
      </c>
      <c r="E900" s="24" t="s">
        <v>661</v>
      </c>
      <c r="G900" s="3"/>
      <c r="M900" s="7"/>
      <c r="N900" s="7"/>
      <c r="O900" s="7"/>
    </row>
    <row r="901" spans="1:18" x14ac:dyDescent="0.25">
      <c r="A901" s="1422"/>
      <c r="B901" s="1423"/>
      <c r="C901" s="23"/>
      <c r="D901" s="23" t="s">
        <v>135</v>
      </c>
      <c r="E901" s="24" t="s">
        <v>136</v>
      </c>
      <c r="M901" s="7"/>
      <c r="N901" s="7"/>
      <c r="O901" s="7"/>
    </row>
    <row r="902" spans="1:18" x14ac:dyDescent="0.25">
      <c r="A902" s="1422"/>
      <c r="B902" s="1423"/>
      <c r="C902" s="25" t="s">
        <v>140</v>
      </c>
      <c r="D902" s="32" t="s">
        <v>142</v>
      </c>
      <c r="E902" s="459" t="s">
        <v>143</v>
      </c>
      <c r="M902" s="7"/>
      <c r="N902" s="7"/>
      <c r="O902" s="7"/>
    </row>
    <row r="903" spans="1:18" x14ac:dyDescent="0.25">
      <c r="A903" s="1422" t="s">
        <v>636</v>
      </c>
      <c r="B903" s="1423"/>
      <c r="C903" s="295"/>
      <c r="D903" s="460">
        <f>IF(C903="",0,LOOKUP(C903,TABELLE!$B$165:$B$173,TABELLE!$C$165:$C$173))</f>
        <v>0</v>
      </c>
      <c r="E903" s="296"/>
      <c r="G903" s="7"/>
    </row>
    <row r="904" spans="1:18" x14ac:dyDescent="0.25">
      <c r="A904" s="1422" t="s">
        <v>637</v>
      </c>
      <c r="B904" s="1423"/>
      <c r="C904" s="295"/>
      <c r="D904" s="460">
        <f>IF(C904="",0,LOOKUP(C904,TABELLE!$B$165:$B$173,TABELLE!$C$165:$C$173))</f>
        <v>0</v>
      </c>
      <c r="E904" s="296"/>
      <c r="G904" s="7"/>
      <c r="H904" s="3"/>
      <c r="I904" s="3"/>
      <c r="J904" s="3"/>
      <c r="K904" s="3"/>
      <c r="L904" s="3"/>
      <c r="M904" s="3"/>
      <c r="N904" s="3"/>
      <c r="O904" s="3"/>
      <c r="P904" s="3"/>
      <c r="Q904" s="3"/>
      <c r="R904" s="3"/>
    </row>
    <row r="905" spans="1:18" x14ac:dyDescent="0.25">
      <c r="A905" s="1422" t="s">
        <v>638</v>
      </c>
      <c r="B905" s="1423"/>
      <c r="C905" s="295"/>
      <c r="D905" s="460">
        <f>IF(C905="",0,LOOKUP(C905,TABELLE!$B$165:$B$173,TABELLE!$C$165:$C$173))</f>
        <v>0</v>
      </c>
      <c r="E905" s="296"/>
    </row>
    <row r="906" spans="1:18" x14ac:dyDescent="0.25">
      <c r="A906" s="1422" t="s">
        <v>639</v>
      </c>
      <c r="B906" s="1423"/>
      <c r="C906" s="295"/>
      <c r="D906" s="460">
        <f>IF(C906="",0,LOOKUP(C906,TABELLE!$B$165:$B$173,TABELLE!$C$165:$C$173))</f>
        <v>0</v>
      </c>
      <c r="E906" s="296"/>
      <c r="G906" s="7"/>
    </row>
    <row r="907" spans="1:18" x14ac:dyDescent="0.25">
      <c r="A907" s="1417" t="s">
        <v>634</v>
      </c>
      <c r="B907" s="1418"/>
      <c r="C907" s="1418"/>
      <c r="D907" s="1419"/>
      <c r="E907" s="451">
        <f>2*(D903*E903+D904*E904+D905*E905+D906*E906)/1000</f>
        <v>0</v>
      </c>
      <c r="G907" s="7"/>
      <c r="M907" s="7"/>
      <c r="N907" s="7"/>
      <c r="O907" s="7"/>
    </row>
    <row r="908" spans="1:18" x14ac:dyDescent="0.25">
      <c r="A908" s="1424" t="s">
        <v>656</v>
      </c>
      <c r="B908" s="1425"/>
      <c r="C908" s="1425"/>
      <c r="D908" s="353" t="s">
        <v>61</v>
      </c>
      <c r="E908" s="33">
        <f>$O$171</f>
        <v>100</v>
      </c>
      <c r="M908" s="7"/>
      <c r="N908" s="7"/>
      <c r="O908" s="7"/>
    </row>
    <row r="909" spans="1:18" x14ac:dyDescent="0.25">
      <c r="A909" s="1426" t="s">
        <v>657</v>
      </c>
      <c r="B909" s="1427"/>
      <c r="C909" s="1427"/>
      <c r="D909" s="353" t="s">
        <v>84</v>
      </c>
      <c r="E909" s="463" t="e">
        <f>ROUND(E908^2/((D898/D897)+E907),2)</f>
        <v>#DIV/0!</v>
      </c>
      <c r="M909" s="7"/>
      <c r="N909" s="7"/>
      <c r="O909" s="7"/>
    </row>
    <row r="910" spans="1:18" x14ac:dyDescent="0.25">
      <c r="A910" s="424"/>
      <c r="B910" s="7"/>
      <c r="C910" s="7"/>
      <c r="D910" s="7"/>
      <c r="E910" s="18"/>
      <c r="G910" s="3"/>
      <c r="M910" s="7"/>
      <c r="N910" s="7"/>
      <c r="O910" s="7"/>
    </row>
    <row r="911" spans="1:18" x14ac:dyDescent="0.25">
      <c r="A911" s="458" t="s">
        <v>152</v>
      </c>
      <c r="B911" s="19"/>
      <c r="C911" s="19"/>
      <c r="D911" s="19"/>
      <c r="E911" s="447"/>
      <c r="M911" s="7"/>
      <c r="N911" s="7"/>
      <c r="O911" s="7"/>
    </row>
    <row r="912" spans="1:18" x14ac:dyDescent="0.25">
      <c r="A912" s="1424" t="s">
        <v>654</v>
      </c>
      <c r="B912" s="1425"/>
      <c r="C912" s="1425"/>
      <c r="D912" s="295"/>
      <c r="E912" s="447" t="s">
        <v>20</v>
      </c>
      <c r="M912" s="7"/>
      <c r="N912" s="7"/>
      <c r="O912" s="7"/>
    </row>
    <row r="913" spans="1:7" x14ac:dyDescent="0.25">
      <c r="A913" s="1424" t="s">
        <v>655</v>
      </c>
      <c r="B913" s="1425"/>
      <c r="C913" s="1425"/>
      <c r="D913" s="295"/>
      <c r="E913" s="447" t="s">
        <v>61</v>
      </c>
      <c r="G913" s="7"/>
    </row>
    <row r="914" spans="1:7" x14ac:dyDescent="0.25">
      <c r="A914" s="1430" t="s">
        <v>663</v>
      </c>
      <c r="B914" s="1431"/>
      <c r="C914" s="1431"/>
      <c r="D914" s="1432"/>
      <c r="E914" s="447"/>
      <c r="G914" s="7"/>
    </row>
    <row r="915" spans="1:7" ht="38.25" x14ac:dyDescent="0.25">
      <c r="A915" s="1420" t="s">
        <v>129</v>
      </c>
      <c r="B915" s="1421"/>
      <c r="C915" s="23" t="s">
        <v>378</v>
      </c>
      <c r="D915" s="23" t="s">
        <v>131</v>
      </c>
      <c r="E915" s="24" t="s">
        <v>661</v>
      </c>
    </row>
    <row r="916" spans="1:7" x14ac:dyDescent="0.25">
      <c r="A916" s="1422"/>
      <c r="B916" s="1423"/>
      <c r="C916" s="23"/>
      <c r="D916" s="23" t="s">
        <v>135</v>
      </c>
      <c r="E916" s="24" t="s">
        <v>136</v>
      </c>
      <c r="G916" s="7"/>
    </row>
    <row r="917" spans="1:7" x14ac:dyDescent="0.25">
      <c r="A917" s="1422"/>
      <c r="B917" s="1423"/>
      <c r="C917" s="25" t="s">
        <v>140</v>
      </c>
      <c r="D917" s="32" t="s">
        <v>142</v>
      </c>
      <c r="E917" s="459" t="s">
        <v>143</v>
      </c>
      <c r="G917" s="7"/>
    </row>
    <row r="918" spans="1:7" x14ac:dyDescent="0.25">
      <c r="A918" s="1422" t="s">
        <v>636</v>
      </c>
      <c r="B918" s="1423"/>
      <c r="C918" s="295"/>
      <c r="D918" s="460">
        <f>IF(C918="",0,LOOKUP(C918,TABELLE!$B$165:$B$173,TABELLE!$C$165:$C$173))</f>
        <v>0</v>
      </c>
      <c r="E918" s="296"/>
    </row>
    <row r="919" spans="1:7" x14ac:dyDescent="0.25">
      <c r="A919" s="1422" t="s">
        <v>637</v>
      </c>
      <c r="B919" s="1423"/>
      <c r="C919" s="295"/>
      <c r="D919" s="460">
        <f>IF(C919="",0,LOOKUP(C919,TABELLE!$B$165:$B$173,TABELLE!$C$165:$C$173))</f>
        <v>0</v>
      </c>
      <c r="E919" s="296"/>
    </row>
    <row r="920" spans="1:7" x14ac:dyDescent="0.25">
      <c r="A920" s="1422" t="s">
        <v>638</v>
      </c>
      <c r="B920" s="1423"/>
      <c r="C920" s="295"/>
      <c r="D920" s="460">
        <f>IF(C920="",0,LOOKUP(C920,TABELLE!$B$165:$B$173,TABELLE!$C$165:$C$173))</f>
        <v>0</v>
      </c>
      <c r="E920" s="296"/>
    </row>
    <row r="921" spans="1:7" x14ac:dyDescent="0.25">
      <c r="A921" s="1422" t="s">
        <v>639</v>
      </c>
      <c r="B921" s="1423"/>
      <c r="C921" s="295"/>
      <c r="D921" s="460">
        <f>IF(C921="",0,LOOKUP(C921,TABELLE!$B$165:$B$173,TABELLE!$C$165:$C$173))</f>
        <v>0</v>
      </c>
      <c r="E921" s="296"/>
    </row>
    <row r="922" spans="1:7" x14ac:dyDescent="0.25">
      <c r="A922" s="1417" t="s">
        <v>634</v>
      </c>
      <c r="B922" s="1418"/>
      <c r="C922" s="1418"/>
      <c r="D922" s="1419"/>
      <c r="E922" s="451">
        <f>2*(D918*E918+D919*E919+D920*E920+D921*E921)/1000</f>
        <v>0</v>
      </c>
    </row>
    <row r="923" spans="1:7" x14ac:dyDescent="0.25">
      <c r="A923" s="1424" t="s">
        <v>656</v>
      </c>
      <c r="B923" s="1425"/>
      <c r="C923" s="1425"/>
      <c r="D923" s="353" t="s">
        <v>61</v>
      </c>
      <c r="E923" s="33">
        <f>$O$171</f>
        <v>100</v>
      </c>
    </row>
    <row r="924" spans="1:7" x14ac:dyDescent="0.25">
      <c r="A924" s="1426" t="s">
        <v>659</v>
      </c>
      <c r="B924" s="1427"/>
      <c r="C924" s="1427"/>
      <c r="D924" s="353" t="s">
        <v>84</v>
      </c>
      <c r="E924" s="463" t="e">
        <f>ROUND(E923^2/((D913/D912)+E922),2)</f>
        <v>#DIV/0!</v>
      </c>
    </row>
    <row r="925" spans="1:7" x14ac:dyDescent="0.25">
      <c r="A925" s="424"/>
      <c r="B925" s="7"/>
      <c r="C925" s="7"/>
      <c r="D925" s="7"/>
      <c r="E925" s="18"/>
    </row>
    <row r="926" spans="1:7" x14ac:dyDescent="0.25">
      <c r="A926" s="458" t="s">
        <v>158</v>
      </c>
      <c r="B926" s="19"/>
      <c r="C926" s="19"/>
      <c r="D926" s="19"/>
      <c r="E926" s="447"/>
    </row>
    <row r="927" spans="1:7" x14ac:dyDescent="0.25">
      <c r="A927" s="1424" t="s">
        <v>654</v>
      </c>
      <c r="B927" s="1425"/>
      <c r="C927" s="1425"/>
      <c r="D927" s="295"/>
      <c r="E927" s="447" t="s">
        <v>20</v>
      </c>
    </row>
    <row r="928" spans="1:7" x14ac:dyDescent="0.25">
      <c r="A928" s="1424" t="s">
        <v>655</v>
      </c>
      <c r="B928" s="1425"/>
      <c r="C928" s="1425"/>
      <c r="D928" s="295"/>
      <c r="E928" s="447" t="s">
        <v>61</v>
      </c>
    </row>
    <row r="929" spans="1:5" x14ac:dyDescent="0.25">
      <c r="A929" s="1430" t="s">
        <v>663</v>
      </c>
      <c r="B929" s="1431"/>
      <c r="C929" s="1431"/>
      <c r="D929" s="1432"/>
      <c r="E929" s="447"/>
    </row>
    <row r="930" spans="1:5" ht="38.25" x14ac:dyDescent="0.25">
      <c r="A930" s="1420" t="s">
        <v>129</v>
      </c>
      <c r="B930" s="1421"/>
      <c r="C930" s="23" t="s">
        <v>378</v>
      </c>
      <c r="D930" s="23" t="s">
        <v>131</v>
      </c>
      <c r="E930" s="24" t="s">
        <v>661</v>
      </c>
    </row>
    <row r="931" spans="1:5" x14ac:dyDescent="0.25">
      <c r="A931" s="1422"/>
      <c r="B931" s="1423"/>
      <c r="C931" s="23"/>
      <c r="D931" s="23" t="s">
        <v>135</v>
      </c>
      <c r="E931" s="24" t="s">
        <v>136</v>
      </c>
    </row>
    <row r="932" spans="1:5" x14ac:dyDescent="0.25">
      <c r="A932" s="1422"/>
      <c r="B932" s="1423"/>
      <c r="C932" s="25" t="s">
        <v>140</v>
      </c>
      <c r="D932" s="32" t="s">
        <v>142</v>
      </c>
      <c r="E932" s="459" t="s">
        <v>143</v>
      </c>
    </row>
    <row r="933" spans="1:5" x14ac:dyDescent="0.25">
      <c r="A933" s="1422" t="s">
        <v>636</v>
      </c>
      <c r="B933" s="1423"/>
      <c r="C933" s="295"/>
      <c r="D933" s="460">
        <f>IF(C933="",0,LOOKUP(C933,TABELLE!$B$165:$B$173,TABELLE!$C$165:$C$173))</f>
        <v>0</v>
      </c>
      <c r="E933" s="296"/>
    </row>
    <row r="934" spans="1:5" x14ac:dyDescent="0.25">
      <c r="A934" s="1422" t="s">
        <v>637</v>
      </c>
      <c r="B934" s="1423"/>
      <c r="C934" s="295"/>
      <c r="D934" s="460">
        <f>IF(C934="",0,LOOKUP(C934,TABELLE!$B$165:$B$173,TABELLE!$C$165:$C$173))</f>
        <v>0</v>
      </c>
      <c r="E934" s="296"/>
    </row>
    <row r="935" spans="1:5" x14ac:dyDescent="0.25">
      <c r="A935" s="1422" t="s">
        <v>638</v>
      </c>
      <c r="B935" s="1423"/>
      <c r="C935" s="295"/>
      <c r="D935" s="460">
        <f>IF(C935="",0,LOOKUP(C935,TABELLE!$B$165:$B$173,TABELLE!$C$165:$C$173))</f>
        <v>0</v>
      </c>
      <c r="E935" s="296"/>
    </row>
    <row r="936" spans="1:5" x14ac:dyDescent="0.25">
      <c r="A936" s="1422" t="s">
        <v>639</v>
      </c>
      <c r="B936" s="1423"/>
      <c r="C936" s="295"/>
      <c r="D936" s="460">
        <f>IF(C936="",0,LOOKUP(C936,TABELLE!$B$165:$B$173,TABELLE!$C$165:$C$173))</f>
        <v>0</v>
      </c>
      <c r="E936" s="296"/>
    </row>
    <row r="937" spans="1:5" x14ac:dyDescent="0.25">
      <c r="A937" s="1417" t="s">
        <v>634</v>
      </c>
      <c r="B937" s="1418"/>
      <c r="C937" s="1418"/>
      <c r="D937" s="1419"/>
      <c r="E937" s="451">
        <f>2*(D933*E933+D934*E934+D935*E935+D936*E936)/1000</f>
        <v>0</v>
      </c>
    </row>
    <row r="938" spans="1:5" x14ac:dyDescent="0.25">
      <c r="A938" s="1424" t="s">
        <v>656</v>
      </c>
      <c r="B938" s="1425"/>
      <c r="C938" s="1425"/>
      <c r="D938" s="353" t="s">
        <v>61</v>
      </c>
      <c r="E938" s="33">
        <f>$O$171</f>
        <v>100</v>
      </c>
    </row>
    <row r="939" spans="1:5" ht="15.75" thickBot="1" x14ac:dyDescent="0.3">
      <c r="A939" s="1433" t="s">
        <v>658</v>
      </c>
      <c r="B939" s="1434"/>
      <c r="C939" s="1434"/>
      <c r="D939" s="34" t="s">
        <v>84</v>
      </c>
      <c r="E939" s="464" t="e">
        <f>ROUND(E938^2/((D928/D927)+E937),2)</f>
        <v>#DIV/0!</v>
      </c>
    </row>
    <row r="940" spans="1:5" ht="15.75" thickBot="1" x14ac:dyDescent="0.3">
      <c r="A940" s="424"/>
      <c r="B940" s="7"/>
      <c r="C940" s="7"/>
      <c r="D940" s="7"/>
      <c r="E940" s="18"/>
    </row>
    <row r="941" spans="1:5" ht="21" x14ac:dyDescent="0.35">
      <c r="A941" s="404" t="s">
        <v>379</v>
      </c>
      <c r="B941" s="445"/>
      <c r="C941" s="445"/>
      <c r="D941" s="445"/>
      <c r="E941" s="446"/>
    </row>
    <row r="942" spans="1:5" x14ac:dyDescent="0.25">
      <c r="A942" s="448"/>
      <c r="B942" s="19"/>
      <c r="C942" s="19"/>
      <c r="D942" s="19"/>
      <c r="E942" s="447"/>
    </row>
    <row r="943" spans="1:5" x14ac:dyDescent="0.25">
      <c r="A943" s="458" t="s">
        <v>123</v>
      </c>
      <c r="B943" s="19"/>
      <c r="C943" s="19"/>
      <c r="D943" s="19"/>
      <c r="E943" s="447"/>
    </row>
    <row r="944" spans="1:5" x14ac:dyDescent="0.25">
      <c r="A944" s="1430" t="s">
        <v>662</v>
      </c>
      <c r="B944" s="1431"/>
      <c r="C944" s="1431"/>
      <c r="D944" s="1432"/>
      <c r="E944" s="18"/>
    </row>
    <row r="945" spans="1:5" ht="38.25" x14ac:dyDescent="0.25">
      <c r="A945" s="1420" t="s">
        <v>129</v>
      </c>
      <c r="B945" s="1421"/>
      <c r="C945" s="23" t="s">
        <v>378</v>
      </c>
      <c r="D945" s="23" t="s">
        <v>131</v>
      </c>
      <c r="E945" s="24" t="s">
        <v>661</v>
      </c>
    </row>
    <row r="946" spans="1:5" x14ac:dyDescent="0.25">
      <c r="A946" s="1422"/>
      <c r="B946" s="1423"/>
      <c r="C946" s="23"/>
      <c r="D946" s="23" t="s">
        <v>135</v>
      </c>
      <c r="E946" s="24" t="s">
        <v>136</v>
      </c>
    </row>
    <row r="947" spans="1:5" x14ac:dyDescent="0.25">
      <c r="A947" s="1422"/>
      <c r="B947" s="1423"/>
      <c r="C947" s="25" t="s">
        <v>140</v>
      </c>
      <c r="D947" s="32" t="s">
        <v>142</v>
      </c>
      <c r="E947" s="459" t="s">
        <v>143</v>
      </c>
    </row>
    <row r="948" spans="1:5" ht="22.5" customHeight="1" x14ac:dyDescent="0.25">
      <c r="A948" s="1422" t="s">
        <v>374</v>
      </c>
      <c r="B948" s="1423"/>
      <c r="C948" s="295"/>
      <c r="D948" s="460">
        <f>IF(C948="",0,LOOKUP(C948,TABELLE!$B$165:$B$173,TABELLE!$C$165:$C$173))</f>
        <v>0</v>
      </c>
      <c r="E948" s="296"/>
    </row>
    <row r="949" spans="1:5" ht="22.5" customHeight="1" x14ac:dyDescent="0.25">
      <c r="A949" s="1422" t="s">
        <v>375</v>
      </c>
      <c r="B949" s="1423"/>
      <c r="C949" s="295"/>
      <c r="D949" s="460">
        <f>IF(C949="",0,LOOKUP(C949,TABELLE!$B$165:$B$173,TABELLE!$C$165:$C$173))</f>
        <v>0</v>
      </c>
      <c r="E949" s="296"/>
    </row>
    <row r="950" spans="1:5" ht="22.5" customHeight="1" x14ac:dyDescent="0.25">
      <c r="A950" s="1422" t="s">
        <v>376</v>
      </c>
      <c r="B950" s="1423"/>
      <c r="C950" s="295"/>
      <c r="D950" s="460">
        <f>IF(C950="",0,LOOKUP(C950,TABELLE!$B$165:$B$173,TABELLE!$C$165:$C$173))</f>
        <v>0</v>
      </c>
      <c r="E950" s="296"/>
    </row>
    <row r="951" spans="1:5" ht="22.5" customHeight="1" x14ac:dyDescent="0.25">
      <c r="A951" s="1422" t="s">
        <v>377</v>
      </c>
      <c r="B951" s="1423"/>
      <c r="C951" s="295"/>
      <c r="D951" s="460">
        <f>IF(C951="",0,LOOKUP(C951,TABELLE!$B$165:$B$173,TABELLE!$C$165:$C$173))</f>
        <v>0</v>
      </c>
      <c r="E951" s="296"/>
    </row>
    <row r="952" spans="1:5" x14ac:dyDescent="0.25">
      <c r="A952" s="1417" t="s">
        <v>634</v>
      </c>
      <c r="B952" s="1418"/>
      <c r="C952" s="1418"/>
      <c r="D952" s="1419"/>
      <c r="E952" s="451">
        <f>2*(D948*E948+D949*E949+D950*E950+D951*E951)/1000</f>
        <v>0</v>
      </c>
    </row>
    <row r="953" spans="1:5" x14ac:dyDescent="0.25">
      <c r="A953" s="1417" t="s">
        <v>665</v>
      </c>
      <c r="B953" s="1418"/>
      <c r="C953" s="1418"/>
      <c r="D953" s="1419"/>
      <c r="E953" s="451" t="str">
        <f>IF(D897&lt;&gt;"",D897,"Inserire corrente circolante nel TV-1")</f>
        <v>Inserire corrente circolante nel TV-1</v>
      </c>
    </row>
    <row r="954" spans="1:5" x14ac:dyDescent="0.25">
      <c r="A954" s="1417" t="s">
        <v>666</v>
      </c>
      <c r="B954" s="1418"/>
      <c r="C954" s="1418"/>
      <c r="D954" s="1419"/>
      <c r="E954" s="22" t="e">
        <f>IF((E952*E953)/$O$171&lt;0.1*'VALUT. GLOBALE'!$E$63,"SI","NO")</f>
        <v>#VALUE!</v>
      </c>
    </row>
    <row r="955" spans="1:5" x14ac:dyDescent="0.25">
      <c r="A955" s="424"/>
      <c r="B955" s="7"/>
      <c r="C955" s="7"/>
      <c r="D955" s="7"/>
      <c r="E955" s="18"/>
    </row>
    <row r="956" spans="1:5" x14ac:dyDescent="0.25">
      <c r="A956" s="458" t="s">
        <v>152</v>
      </c>
      <c r="B956" s="19"/>
      <c r="C956" s="19"/>
      <c r="D956" s="19"/>
      <c r="E956" s="18"/>
    </row>
    <row r="957" spans="1:5" x14ac:dyDescent="0.25">
      <c r="A957" s="1430" t="s">
        <v>662</v>
      </c>
      <c r="B957" s="1431"/>
      <c r="C957" s="1431"/>
      <c r="D957" s="1432"/>
      <c r="E957" s="18"/>
    </row>
    <row r="958" spans="1:5" ht="38.25" x14ac:dyDescent="0.25">
      <c r="A958" s="1442" t="s">
        <v>129</v>
      </c>
      <c r="B958" s="1443"/>
      <c r="C958" s="23" t="s">
        <v>378</v>
      </c>
      <c r="D958" s="23" t="s">
        <v>131</v>
      </c>
      <c r="E958" s="24" t="s">
        <v>661</v>
      </c>
    </row>
    <row r="959" spans="1:5" x14ac:dyDescent="0.25">
      <c r="A959" s="1428"/>
      <c r="B959" s="1429"/>
      <c r="C959" s="23"/>
      <c r="D959" s="23" t="s">
        <v>135</v>
      </c>
      <c r="E959" s="24" t="s">
        <v>136</v>
      </c>
    </row>
    <row r="960" spans="1:5" x14ac:dyDescent="0.25">
      <c r="A960" s="1428"/>
      <c r="B960" s="1429"/>
      <c r="C960" s="25" t="s">
        <v>140</v>
      </c>
      <c r="D960" s="32" t="s">
        <v>142</v>
      </c>
      <c r="E960" s="459" t="s">
        <v>143</v>
      </c>
    </row>
    <row r="961" spans="1:5" ht="23.25" customHeight="1" x14ac:dyDescent="0.25">
      <c r="A961" s="1428" t="s">
        <v>374</v>
      </c>
      <c r="B961" s="1429"/>
      <c r="C961" s="295"/>
      <c r="D961" s="460">
        <f>IF(C961="",0,LOOKUP(C961,TABELLE!$B$165:$B$173,TABELLE!$C$165:$C$173))</f>
        <v>0</v>
      </c>
      <c r="E961" s="296"/>
    </row>
    <row r="962" spans="1:5" ht="23.25" customHeight="1" x14ac:dyDescent="0.25">
      <c r="A962" s="1428" t="s">
        <v>375</v>
      </c>
      <c r="B962" s="1429"/>
      <c r="C962" s="295"/>
      <c r="D962" s="460">
        <f>IF(C962="",0,LOOKUP(C962,TABELLE!$B$165:$B$173,TABELLE!$C$165:$C$173))</f>
        <v>0</v>
      </c>
      <c r="E962" s="296"/>
    </row>
    <row r="963" spans="1:5" ht="23.25" customHeight="1" x14ac:dyDescent="0.25">
      <c r="A963" s="1428" t="s">
        <v>376</v>
      </c>
      <c r="B963" s="1429"/>
      <c r="C963" s="295"/>
      <c r="D963" s="460">
        <f>IF(C963="",0,LOOKUP(C963,TABELLE!$B$165:$B$173,TABELLE!$C$165:$C$173))</f>
        <v>0</v>
      </c>
      <c r="E963" s="296"/>
    </row>
    <row r="964" spans="1:5" ht="23.25" customHeight="1" x14ac:dyDescent="0.25">
      <c r="A964" s="1422" t="s">
        <v>377</v>
      </c>
      <c r="B964" s="1423"/>
      <c r="C964" s="295"/>
      <c r="D964" s="460">
        <f>IF(C964="",0,LOOKUP(C964,TABELLE!$B$165:$B$173,TABELLE!$C$165:$C$173))</f>
        <v>0</v>
      </c>
      <c r="E964" s="296"/>
    </row>
    <row r="965" spans="1:5" x14ac:dyDescent="0.25">
      <c r="A965" s="1417" t="s">
        <v>634</v>
      </c>
      <c r="B965" s="1418"/>
      <c r="C965" s="1418"/>
      <c r="D965" s="1419"/>
      <c r="E965" s="451">
        <f>2*(D961*E961+D962*E962+D963*E963+D964*E964)/1000</f>
        <v>0</v>
      </c>
    </row>
    <row r="966" spans="1:5" x14ac:dyDescent="0.25">
      <c r="A966" s="1417" t="s">
        <v>665</v>
      </c>
      <c r="B966" s="1418"/>
      <c r="C966" s="1418"/>
      <c r="D966" s="1419"/>
      <c r="E966" s="451" t="str">
        <f>IF(D912&lt;&gt;"",D912,"Inserire corrente circolante nel TV-2")</f>
        <v>Inserire corrente circolante nel TV-2</v>
      </c>
    </row>
    <row r="967" spans="1:5" x14ac:dyDescent="0.25">
      <c r="A967" s="1417" t="s">
        <v>666</v>
      </c>
      <c r="B967" s="1418"/>
      <c r="C967" s="1418"/>
      <c r="D967" s="1419"/>
      <c r="E967" s="22" t="e">
        <f>IF((E965*E966)/$O$171&lt;0.1*'VALUT. GLOBALE'!$E$63,"SI","NO")</f>
        <v>#VALUE!</v>
      </c>
    </row>
    <row r="968" spans="1:5" x14ac:dyDescent="0.25">
      <c r="A968" s="424"/>
      <c r="B968" s="7"/>
      <c r="C968" s="7"/>
      <c r="D968" s="7"/>
      <c r="E968" s="18"/>
    </row>
    <row r="969" spans="1:5" x14ac:dyDescent="0.25">
      <c r="A969" s="458" t="s">
        <v>158</v>
      </c>
      <c r="B969" s="19"/>
      <c r="C969" s="19"/>
      <c r="D969" s="19"/>
      <c r="E969" s="18"/>
    </row>
    <row r="970" spans="1:5" x14ac:dyDescent="0.25">
      <c r="A970" s="1430" t="s">
        <v>662</v>
      </c>
      <c r="B970" s="1431"/>
      <c r="C970" s="1431"/>
      <c r="D970" s="1432"/>
      <c r="E970" s="18"/>
    </row>
    <row r="971" spans="1:5" ht="38.25" x14ac:dyDescent="0.25">
      <c r="A971" s="1420" t="s">
        <v>129</v>
      </c>
      <c r="B971" s="1421"/>
      <c r="C971" s="23" t="s">
        <v>378</v>
      </c>
      <c r="D971" s="23" t="s">
        <v>131</v>
      </c>
      <c r="E971" s="24" t="s">
        <v>661</v>
      </c>
    </row>
    <row r="972" spans="1:5" x14ac:dyDescent="0.25">
      <c r="A972" s="1422"/>
      <c r="B972" s="1423"/>
      <c r="C972" s="23"/>
      <c r="D972" s="23" t="s">
        <v>135</v>
      </c>
      <c r="E972" s="24" t="s">
        <v>136</v>
      </c>
    </row>
    <row r="973" spans="1:5" x14ac:dyDescent="0.25">
      <c r="A973" s="1422"/>
      <c r="B973" s="1423"/>
      <c r="C973" s="25" t="s">
        <v>140</v>
      </c>
      <c r="D973" s="32" t="s">
        <v>142</v>
      </c>
      <c r="E973" s="459" t="s">
        <v>143</v>
      </c>
    </row>
    <row r="974" spans="1:5" ht="22.5" customHeight="1" x14ac:dyDescent="0.25">
      <c r="A974" s="1422" t="s">
        <v>374</v>
      </c>
      <c r="B974" s="1423"/>
      <c r="C974" s="295"/>
      <c r="D974" s="460">
        <f>IF(C974="",0,LOOKUP(C974,TABELLE!$B$165:$B$173,TABELLE!$C$165:$C$173))</f>
        <v>0</v>
      </c>
      <c r="E974" s="296"/>
    </row>
    <row r="975" spans="1:5" ht="22.5" customHeight="1" x14ac:dyDescent="0.25">
      <c r="A975" s="1422" t="s">
        <v>375</v>
      </c>
      <c r="B975" s="1423"/>
      <c r="C975" s="295"/>
      <c r="D975" s="460">
        <f>IF(C975="",0,LOOKUP(C975,TABELLE!$B$165:$B$173,TABELLE!$C$165:$C$173))</f>
        <v>0</v>
      </c>
      <c r="E975" s="296"/>
    </row>
    <row r="976" spans="1:5" ht="22.5" customHeight="1" x14ac:dyDescent="0.25">
      <c r="A976" s="1422" t="s">
        <v>376</v>
      </c>
      <c r="B976" s="1423"/>
      <c r="C976" s="295"/>
      <c r="D976" s="460">
        <f>IF(C976="",0,LOOKUP(C976,TABELLE!$B$165:$B$173,TABELLE!$C$165:$C$173))</f>
        <v>0</v>
      </c>
      <c r="E976" s="296"/>
    </row>
    <row r="977" spans="1:5" ht="22.5" customHeight="1" x14ac:dyDescent="0.25">
      <c r="A977" s="1422" t="s">
        <v>377</v>
      </c>
      <c r="B977" s="1423"/>
      <c r="C977" s="295"/>
      <c r="D977" s="460">
        <f>IF(C977="",0,LOOKUP(C977,TABELLE!$B$165:$B$173,TABELLE!$C$165:$C$173))</f>
        <v>0</v>
      </c>
      <c r="E977" s="296"/>
    </row>
    <row r="978" spans="1:5" x14ac:dyDescent="0.25">
      <c r="A978" s="1417" t="s">
        <v>634</v>
      </c>
      <c r="B978" s="1418"/>
      <c r="C978" s="1418"/>
      <c r="D978" s="1419"/>
      <c r="E978" s="451">
        <f>2*(D974*E974+D975*E975+D976*E976+D977*E977)/1000</f>
        <v>0</v>
      </c>
    </row>
    <row r="979" spans="1:5" x14ac:dyDescent="0.25">
      <c r="A979" s="1417" t="s">
        <v>665</v>
      </c>
      <c r="B979" s="1418"/>
      <c r="C979" s="1418"/>
      <c r="D979" s="1419"/>
      <c r="E979" s="451" t="str">
        <f>IF(D927&lt;&gt;"",D927,"Inserire corrente circolante nel TV-3")</f>
        <v>Inserire corrente circolante nel TV-3</v>
      </c>
    </row>
    <row r="980" spans="1:5" x14ac:dyDescent="0.25">
      <c r="A980" s="1417" t="s">
        <v>666</v>
      </c>
      <c r="B980" s="1418"/>
      <c r="C980" s="1418"/>
      <c r="D980" s="1419"/>
      <c r="E980" s="22" t="e">
        <f>IF((E978*E979)/$O$171&lt;0.1*'VALUT. GLOBALE'!$E$63,"SI","NO")</f>
        <v>#VALUE!</v>
      </c>
    </row>
    <row r="981" spans="1:5" x14ac:dyDescent="0.25">
      <c r="A981" s="424"/>
      <c r="B981" s="7"/>
      <c r="C981" s="7"/>
      <c r="D981" s="7"/>
      <c r="E981" s="18"/>
    </row>
    <row r="982" spans="1:5" x14ac:dyDescent="0.25">
      <c r="A982" s="1424" t="s">
        <v>372</v>
      </c>
      <c r="B982" s="1425"/>
      <c r="C982" s="1425"/>
      <c r="D982" s="295"/>
      <c r="E982" s="447" t="s">
        <v>125</v>
      </c>
    </row>
    <row r="983" spans="1:5" ht="15.75" thickBot="1" x14ac:dyDescent="0.3">
      <c r="A983" s="1440" t="s">
        <v>373</v>
      </c>
      <c r="B983" s="1441"/>
      <c r="C983" s="1441"/>
      <c r="D983" s="299"/>
      <c r="E983" s="456" t="s">
        <v>127</v>
      </c>
    </row>
  </sheetData>
  <sheetProtection algorithmName="SHA-512" hashValue="JhPpG7fthkRSdB7BWkLDWz/v1vqJkdISwp5OyfcMVWGd30Dr89GKpnmqnkzNNZMqAAypAH06zU1nQCx4nTU45g==" saltValue="p2YR5mDrsRDtCioF+GI+Rw==" spinCount="100000" sheet="1" objects="1" scenarios="1"/>
  <protectedRanges>
    <protectedRange algorithmName="SHA-512" hashValue="tY31j/rB5+P0dsqd49Mku1ona6y8BkyVKoxzA13pfqQvaN62/Qp7aJeKJf+/XjJbxX9BREgy1vn91xvA/rXrNA==" saltValue="FqibgZNkdS7Yxa/p4sDx7w==" spinCount="100000" sqref="E892:E894 D897:D898 E903:E906 D912:D913 E918:E921 D927:D928 E933:E936 E948:E951 E961:E964 E974:E977 D982:D983" name="OPE l"/>
    <protectedRange algorithmName="SHA-512" hashValue="Rpl//2hItRAFu6HNWQD6vBZafjnKlvTZjfF34bLCJs+bE/gN0JeOu9bu8+BNcUQ1PdcoHAaRBLmOMjTmRvAyCw==" saltValue="wdwdshA8ptLNNxX8L0E/dQ==" spinCount="100000" sqref="A710 C759 E759 A764:E769 C771 E771 A776:E781 C783 E783 A788:E793 C798 E798 A803:E808 C810 E810 A815:E820 C822 E822 A827:E832 E839:E841 D844:D845 C850:C853 E850:E853 D859:D860 E865:E868 D874:D875 E880:E883 C865:C868 C880:C883 C903:C906 C918:C921 C933:C936 C948:C951 C961:C964 C974:C977" name="OPE i"/>
    <protectedRange algorithmName="SHA-512" hashValue="3hqAhAJYctDoLJiM3gLBDPxAxL33Rl8IAkA4zhsdwMXTcILxfJJJaOJLIfBIBFDzTBCJ9LcWmeve8PkBSE+BOw==" saltValue="szs4NJL2oQTdRHbAm1bijw==" spinCount="100000" sqref="C377 C380 J384:J386 J399:J401 C410 J414:J416 J429:J431 C440 J444:J446 J459:J461 C470 J474:J476 J489:J491 C500 J504:J506 E515 J519:J521 G530 J534:J536" name="OPE g"/>
    <protectedRange algorithmName="SHA-512" hashValue="DYGpHJDXZx594ZlT14ULdu0Qij8/D7hI1W1HcaKV+vHHcyDtjHtsv2CITj95Q2D9yKHmMi/fyoWBmaaUWFFnRA==" saltValue="Lhd24+uCNzCBmCyja4ArpQ==" spinCount="100000" sqref="A258:L262 A265:L269 C280 E280 G280 I280 C283 E283 G283 I283 G286 I286 E288 G288 J287:J289 C295 E295 G295 I295 C298 E298 G298 I298 G303 J302:J304 I301 I316 I331 I346 I361 I383 I551 G301 G316 G331 G346 G361 G383 G551" name="OPE d"/>
    <protectedRange algorithmName="SHA-512" hashValue="oXNwI8fuGMfhreyMy22Q5HusFggbwWL+a8MSWBXRfxYvvtOnHz4y9SEmogDZ+4MmT6gDt44IrDzMxS12JbJNDQ==" saltValue="SkbsVjO5jYDe66nvfqRNBQ==" spinCount="100000" sqref="C83 I83 C87 I87 C91 I91 C95 I95 C99 I99 C103 I103 F107:L109 C113 C119:J119 C131:J131 H148 H170 H188 H191 H193 C122:L122 C125:L125 C134:L134 C137:L137 H151 H154 O141:O144 O159:O162 O179 B278 C290 E290 G290 I290 B293 C305 E305 G305 I305 B308 C320 E320 G320 I320 B323 C335 E335 G335 I335 B338 C350 E350 G350 I350 B353 C365 E365 G365 I365 B375 B390 B405 B420 B435 B450 B465 B480 B495 B510 B525 B543 B558 B573 B588 B603 B618 B633 B648 B663 B678 B693 H157 H160 H162:H164" name="OPE b"/>
    <protectedRange algorithmName="SHA-512" hashValue="PRu5IFTKPjh6/ldumRM4LAYRFMzWLYasqarS2BDYtil0jsL9KF34b80wwyAT1qWtKVPOu+VPGQiv4ckNEBz7Ew==" saltValue="/7Y86oPFi/rAlkt9sIcreg==" spinCount="100000" sqref="H6 H12 H9 H19 D16 H22 F24 C27 C31 C35 F38 C41 C45 F49 C53 J53 C57 I57 C61 I61 C65 I65 C69 I69 K69 C73 E73 I73 C78 E78 I78 C7 C10 C13 H14:I16 D19 I49 L49 H142 H145 H173 H176 H179 H182 H185 E371 G371 E837:E838 E890:E891" name="OPE a"/>
    <protectedRange algorithmName="SHA-512" hashValue="00SltNP+eDFU+hwDVBw8Jo77AbqEXk1OItF4QSWiCBsQrtUCAJyu3flamt6/KUvi0mgoVWsG3Q2lTkMKKmS6ow==" saltValue="mCS3nYuPTkrgMLBeKqOFlg==" spinCount="100000" sqref="O146 O148 O151 O154 O164 O166 O168:P168 O170 O172:P172 O174 A203:L203 A207:L207 A211:L211 A215:L215 A219:L219 A223:L223 A227:L227 A231:L231 A235:L235 A239:L239" name="OPE c"/>
    <protectedRange algorithmName="SHA-512" hashValue="SNcwYiAHiwvSY2vYtx5JSDcflRcvVHOuAe4W0SOVh2ciuUq3tWkcdkmDapZrXGbxbKWlWPJdF3GijhZehB9XgA==" saltValue="nuKi2yOBRLWAgrnbx2J2GQ==" spinCount="100000" sqref="C310 E310 G310 I310 C313 E313 G313 I313 G318 J317:J319 C325 E325 G325 I325 C328 E328 G328 I328 G333 J332:J334" name="OPE e"/>
    <protectedRange algorithmName="SHA-512" hashValue="rXZro6yTlKgAfP7x+gdiwaUtJ28Zac6SVaFoBQT6SnyreQ2dxvuqTnp4GcG93SsOv4vWqvD3sadWrkeAReX/yA==" saltValue="JvV3uIP6Dxd90WofrNgsug==" spinCount="100000" sqref="C340 E340 G340 I340 C343 E343 G343 I343 G348 J347:J349 C355 E355 G355 I355 C358 E358 G358 I358 G363 J362:J364" name="OPE f"/>
    <protectedRange algorithmName="SHA-512" hashValue="hp0tpJHWTAFsfrmL23g+K1CuAEcz1HtH9lI/Bxf/PdtoJ3KO4tWBwEAVa/IdnIx/5kJHzExjDrKmcToN+XIaEQ==" saltValue="21DwTlOCD3RFbvu8N+DWOA==" spinCount="100000" sqref="C545 C548 J552:J554 J567:J569 C578 J582:J584 J597:J599 C608 J612:J614 J627:J629 C638 J642:J644 J657:J659 C668 J672:J674 E683 J687:J689 G698 J702:J704" name="OPE h"/>
  </protectedRanges>
  <mergeCells count="873">
    <mergeCell ref="M5:P6"/>
    <mergeCell ref="M7:P8"/>
    <mergeCell ref="M9:P10"/>
    <mergeCell ref="M11:P12"/>
    <mergeCell ref="A6:B8"/>
    <mergeCell ref="A5:C5"/>
    <mergeCell ref="F18:G20"/>
    <mergeCell ref="A9:B11"/>
    <mergeCell ref="A12:B14"/>
    <mergeCell ref="C9:D9"/>
    <mergeCell ref="C10:D10"/>
    <mergeCell ref="C11:D11"/>
    <mergeCell ref="C12:D12"/>
    <mergeCell ref="C13:D13"/>
    <mergeCell ref="C14:D14"/>
    <mergeCell ref="H5:I5"/>
    <mergeCell ref="H6:I6"/>
    <mergeCell ref="F5:G7"/>
    <mergeCell ref="H11:I11"/>
    <mergeCell ref="H12:I12"/>
    <mergeCell ref="F11:G13"/>
    <mergeCell ref="C6:D6"/>
    <mergeCell ref="C7:D7"/>
    <mergeCell ref="C8:D8"/>
    <mergeCell ref="D429:D431"/>
    <mergeCell ref="H406:H408"/>
    <mergeCell ref="H409:H411"/>
    <mergeCell ref="D414:D416"/>
    <mergeCell ref="A421:A423"/>
    <mergeCell ref="B421:B423"/>
    <mergeCell ref="A424:A426"/>
    <mergeCell ref="B424:B426"/>
    <mergeCell ref="D421:D423"/>
    <mergeCell ref="D424:D426"/>
    <mergeCell ref="F421:F423"/>
    <mergeCell ref="F424:F426"/>
    <mergeCell ref="H421:H423"/>
    <mergeCell ref="H424:H426"/>
    <mergeCell ref="A427:A431"/>
    <mergeCell ref="A412:A416"/>
    <mergeCell ref="A406:A408"/>
    <mergeCell ref="B406:B408"/>
    <mergeCell ref="A409:A411"/>
    <mergeCell ref="B409:B411"/>
    <mergeCell ref="D406:D408"/>
    <mergeCell ref="D409:D411"/>
    <mergeCell ref="F406:F408"/>
    <mergeCell ref="F409:F411"/>
    <mergeCell ref="A397:A401"/>
    <mergeCell ref="D384:D386"/>
    <mergeCell ref="H376:H378"/>
    <mergeCell ref="H379:H381"/>
    <mergeCell ref="A391:A393"/>
    <mergeCell ref="B391:B393"/>
    <mergeCell ref="A394:A396"/>
    <mergeCell ref="B394:B396"/>
    <mergeCell ref="D391:D393"/>
    <mergeCell ref="D394:D396"/>
    <mergeCell ref="F391:F393"/>
    <mergeCell ref="F394:F396"/>
    <mergeCell ref="H391:H393"/>
    <mergeCell ref="H394:H396"/>
    <mergeCell ref="A382:A386"/>
    <mergeCell ref="D399:D401"/>
    <mergeCell ref="D362:D364"/>
    <mergeCell ref="F362:F364"/>
    <mergeCell ref="A376:A378"/>
    <mergeCell ref="B376:B378"/>
    <mergeCell ref="A379:A381"/>
    <mergeCell ref="B379:B381"/>
    <mergeCell ref="D376:D378"/>
    <mergeCell ref="D379:D381"/>
    <mergeCell ref="F376:F378"/>
    <mergeCell ref="F379:F381"/>
    <mergeCell ref="D347:D349"/>
    <mergeCell ref="F347:F349"/>
    <mergeCell ref="A354:A356"/>
    <mergeCell ref="B354:B356"/>
    <mergeCell ref="D354:D356"/>
    <mergeCell ref="F354:F356"/>
    <mergeCell ref="H354:H356"/>
    <mergeCell ref="A357:A359"/>
    <mergeCell ref="B357:B359"/>
    <mergeCell ref="D357:D359"/>
    <mergeCell ref="F357:F359"/>
    <mergeCell ref="H357:H359"/>
    <mergeCell ref="A346:A348"/>
    <mergeCell ref="D332:D334"/>
    <mergeCell ref="F332:F334"/>
    <mergeCell ref="A339:A341"/>
    <mergeCell ref="B339:B341"/>
    <mergeCell ref="D339:D341"/>
    <mergeCell ref="F339:F341"/>
    <mergeCell ref="H339:H341"/>
    <mergeCell ref="A342:A344"/>
    <mergeCell ref="B342:B344"/>
    <mergeCell ref="D342:D344"/>
    <mergeCell ref="F342:F344"/>
    <mergeCell ref="H342:H344"/>
    <mergeCell ref="A331:A333"/>
    <mergeCell ref="B327:B329"/>
    <mergeCell ref="D327:D329"/>
    <mergeCell ref="F327:F329"/>
    <mergeCell ref="H327:H329"/>
    <mergeCell ref="D317:D319"/>
    <mergeCell ref="F317:F319"/>
    <mergeCell ref="A309:A311"/>
    <mergeCell ref="B309:B311"/>
    <mergeCell ref="A312:A314"/>
    <mergeCell ref="B312:B314"/>
    <mergeCell ref="D309:D311"/>
    <mergeCell ref="D312:D314"/>
    <mergeCell ref="F309:F311"/>
    <mergeCell ref="F312:F314"/>
    <mergeCell ref="A316:A318"/>
    <mergeCell ref="A324:A326"/>
    <mergeCell ref="B324:B326"/>
    <mergeCell ref="D324:D326"/>
    <mergeCell ref="F324:F326"/>
    <mergeCell ref="H324:H326"/>
    <mergeCell ref="H309:H311"/>
    <mergeCell ref="H312:H314"/>
    <mergeCell ref="K117:K120"/>
    <mergeCell ref="K129:K132"/>
    <mergeCell ref="A130:B132"/>
    <mergeCell ref="A133:B135"/>
    <mergeCell ref="A136:B138"/>
    <mergeCell ref="A166:D166"/>
    <mergeCell ref="E166:F166"/>
    <mergeCell ref="A167:D167"/>
    <mergeCell ref="A169:D171"/>
    <mergeCell ref="K142:M144"/>
    <mergeCell ref="J141:J158"/>
    <mergeCell ref="K160:M162"/>
    <mergeCell ref="A141:D146"/>
    <mergeCell ref="E141:F143"/>
    <mergeCell ref="L117:L120"/>
    <mergeCell ref="L129:L132"/>
    <mergeCell ref="E156:F158"/>
    <mergeCell ref="G156:G158"/>
    <mergeCell ref="E159:F161"/>
    <mergeCell ref="G159:G161"/>
    <mergeCell ref="A156:D161"/>
    <mergeCell ref="B187:D188"/>
    <mergeCell ref="B195:D195"/>
    <mergeCell ref="A44:B46"/>
    <mergeCell ref="C56:F56"/>
    <mergeCell ref="C30:K30"/>
    <mergeCell ref="I104:L104"/>
    <mergeCell ref="E162:F162"/>
    <mergeCell ref="I113:J113"/>
    <mergeCell ref="E114:H114"/>
    <mergeCell ref="I38:K38"/>
    <mergeCell ref="I74:L74"/>
    <mergeCell ref="G60:H62"/>
    <mergeCell ref="I70:J70"/>
    <mergeCell ref="K70:L70"/>
    <mergeCell ref="A68:B70"/>
    <mergeCell ref="G64:H66"/>
    <mergeCell ref="G68:H70"/>
    <mergeCell ref="I68:J68"/>
    <mergeCell ref="K68:L68"/>
    <mergeCell ref="I69:J69"/>
    <mergeCell ref="K69:L69"/>
    <mergeCell ref="C60:F60"/>
    <mergeCell ref="C61:F61"/>
    <mergeCell ref="C84:F84"/>
    <mergeCell ref="B262:C262"/>
    <mergeCell ref="E262:L262"/>
    <mergeCell ref="B189:D189"/>
    <mergeCell ref="K159:M159"/>
    <mergeCell ref="K157:M157"/>
    <mergeCell ref="K158:M158"/>
    <mergeCell ref="E167:F167"/>
    <mergeCell ref="A162:D162"/>
    <mergeCell ref="C77:D77"/>
    <mergeCell ref="B257:C257"/>
    <mergeCell ref="E257:L257"/>
    <mergeCell ref="B258:C258"/>
    <mergeCell ref="E258:L258"/>
    <mergeCell ref="B259:C259"/>
    <mergeCell ref="E259:L259"/>
    <mergeCell ref="B260:C260"/>
    <mergeCell ref="E260:L260"/>
    <mergeCell ref="B261:C261"/>
    <mergeCell ref="A195:A197"/>
    <mergeCell ref="C100:F100"/>
    <mergeCell ref="A86:B88"/>
    <mergeCell ref="A90:B92"/>
    <mergeCell ref="G178:G180"/>
    <mergeCell ref="F178:F180"/>
    <mergeCell ref="A3:K3"/>
    <mergeCell ref="C104:F104"/>
    <mergeCell ref="K141:M141"/>
    <mergeCell ref="A117:B117"/>
    <mergeCell ref="C117:D117"/>
    <mergeCell ref="H106:L106"/>
    <mergeCell ref="A107:E107"/>
    <mergeCell ref="H107:L107"/>
    <mergeCell ref="A129:B129"/>
    <mergeCell ref="C129:D129"/>
    <mergeCell ref="E129:J129"/>
    <mergeCell ref="A109:E109"/>
    <mergeCell ref="E117:J117"/>
    <mergeCell ref="H108:L108"/>
    <mergeCell ref="I58:L58"/>
    <mergeCell ref="A52:B52"/>
    <mergeCell ref="E73:F73"/>
    <mergeCell ref="I66:L66"/>
    <mergeCell ref="I62:L62"/>
    <mergeCell ref="C73:D73"/>
    <mergeCell ref="I114:J114"/>
    <mergeCell ref="A108:E108"/>
    <mergeCell ref="F22:G22"/>
    <mergeCell ref="C66:F66"/>
    <mergeCell ref="C86:F86"/>
    <mergeCell ref="I92:L92"/>
    <mergeCell ref="G77:H79"/>
    <mergeCell ref="C82:F82"/>
    <mergeCell ref="C83:F83"/>
    <mergeCell ref="I79:L79"/>
    <mergeCell ref="C87:F87"/>
    <mergeCell ref="C90:F90"/>
    <mergeCell ref="C91:F91"/>
    <mergeCell ref="I72:L72"/>
    <mergeCell ref="I73:L73"/>
    <mergeCell ref="I77:L77"/>
    <mergeCell ref="I78:L78"/>
    <mergeCell ref="I84:L84"/>
    <mergeCell ref="I86:L86"/>
    <mergeCell ref="I87:L87"/>
    <mergeCell ref="I90:L90"/>
    <mergeCell ref="I91:L91"/>
    <mergeCell ref="I88:L88"/>
    <mergeCell ref="A72:B73"/>
    <mergeCell ref="A64:B66"/>
    <mergeCell ref="G72:H74"/>
    <mergeCell ref="C72:D72"/>
    <mergeCell ref="E72:F72"/>
    <mergeCell ref="C79:D79"/>
    <mergeCell ref="E77:F77"/>
    <mergeCell ref="E78:F78"/>
    <mergeCell ref="C78:D78"/>
    <mergeCell ref="E79:F79"/>
    <mergeCell ref="G184:G186"/>
    <mergeCell ref="F184:F186"/>
    <mergeCell ref="G181:G183"/>
    <mergeCell ref="F181:F183"/>
    <mergeCell ref="A77:B79"/>
    <mergeCell ref="A187:A194"/>
    <mergeCell ref="E187:F188"/>
    <mergeCell ref="G187:G188"/>
    <mergeCell ref="B190:D192"/>
    <mergeCell ref="E190:F192"/>
    <mergeCell ref="G190:G192"/>
    <mergeCell ref="C88:F88"/>
    <mergeCell ref="C92:F92"/>
    <mergeCell ref="G141:G143"/>
    <mergeCell ref="E144:F146"/>
    <mergeCell ref="G144:G146"/>
    <mergeCell ref="A118:B120"/>
    <mergeCell ref="A121:B123"/>
    <mergeCell ref="A124:B126"/>
    <mergeCell ref="A102:B102"/>
    <mergeCell ref="C102:F102"/>
    <mergeCell ref="C103:F103"/>
    <mergeCell ref="C94:F94"/>
    <mergeCell ref="C95:F95"/>
    <mergeCell ref="A172:D183"/>
    <mergeCell ref="F172:G174"/>
    <mergeCell ref="F175:G177"/>
    <mergeCell ref="G147:G149"/>
    <mergeCell ref="E147:F149"/>
    <mergeCell ref="A147:D149"/>
    <mergeCell ref="G150:G152"/>
    <mergeCell ref="E150:F152"/>
    <mergeCell ref="A150:D155"/>
    <mergeCell ref="E153:F155"/>
    <mergeCell ref="G153:G155"/>
    <mergeCell ref="E164:F164"/>
    <mergeCell ref="G169:G171"/>
    <mergeCell ref="E169:F171"/>
    <mergeCell ref="E168:F168"/>
    <mergeCell ref="A164:D164"/>
    <mergeCell ref="A168:D168"/>
    <mergeCell ref="H7:I7"/>
    <mergeCell ref="F15:G15"/>
    <mergeCell ref="H19:I19"/>
    <mergeCell ref="H15:I15"/>
    <mergeCell ref="E163:F163"/>
    <mergeCell ref="H13:I13"/>
    <mergeCell ref="A163:D163"/>
    <mergeCell ref="C32:K32"/>
    <mergeCell ref="C70:F70"/>
    <mergeCell ref="C69:F69"/>
    <mergeCell ref="I65:L65"/>
    <mergeCell ref="C58:F58"/>
    <mergeCell ref="I61:L61"/>
    <mergeCell ref="C64:F64"/>
    <mergeCell ref="C65:F65"/>
    <mergeCell ref="C68:F68"/>
    <mergeCell ref="I64:L64"/>
    <mergeCell ref="A60:B62"/>
    <mergeCell ref="G56:H58"/>
    <mergeCell ref="A82:B84"/>
    <mergeCell ref="I82:L82"/>
    <mergeCell ref="I83:L83"/>
    <mergeCell ref="E113:H113"/>
    <mergeCell ref="C57:F57"/>
    <mergeCell ref="A905:B905"/>
    <mergeCell ref="B193:D193"/>
    <mergeCell ref="B194:D194"/>
    <mergeCell ref="B224:C224"/>
    <mergeCell ref="A886:C886"/>
    <mergeCell ref="A897:C897"/>
    <mergeCell ref="A898:C898"/>
    <mergeCell ref="A899:D899"/>
    <mergeCell ref="A900:B900"/>
    <mergeCell ref="A901:B901"/>
    <mergeCell ref="A902:B902"/>
    <mergeCell ref="A369:C369"/>
    <mergeCell ref="A871:C871"/>
    <mergeCell ref="A874:C874"/>
    <mergeCell ref="A875:C875"/>
    <mergeCell ref="A876:D876"/>
    <mergeCell ref="A837:C837"/>
    <mergeCell ref="A301:A303"/>
    <mergeCell ref="A267:L267"/>
    <mergeCell ref="A268:L268"/>
    <mergeCell ref="A269:L269"/>
    <mergeCell ref="A361:A363"/>
    <mergeCell ref="A838:C838"/>
    <mergeCell ref="A846:D846"/>
    <mergeCell ref="A844:C844"/>
    <mergeCell ref="A845:C845"/>
    <mergeCell ref="A710:L753"/>
    <mergeCell ref="H294:H296"/>
    <mergeCell ref="F294:F296"/>
    <mergeCell ref="D294:D296"/>
    <mergeCell ref="B294:B296"/>
    <mergeCell ref="A294:A296"/>
    <mergeCell ref="A297:A299"/>
    <mergeCell ref="B297:B299"/>
    <mergeCell ref="D297:D299"/>
    <mergeCell ref="F297:F299"/>
    <mergeCell ref="H297:H299"/>
    <mergeCell ref="F302:F304"/>
    <mergeCell ref="D302:D304"/>
    <mergeCell ref="D439:D441"/>
    <mergeCell ref="F439:F441"/>
    <mergeCell ref="A436:A438"/>
    <mergeCell ref="B436:B438"/>
    <mergeCell ref="D436:D438"/>
    <mergeCell ref="F436:F438"/>
    <mergeCell ref="H436:H438"/>
    <mergeCell ref="A439:A441"/>
    <mergeCell ref="B439:B441"/>
    <mergeCell ref="A982:C982"/>
    <mergeCell ref="A983:C983"/>
    <mergeCell ref="A958:B958"/>
    <mergeCell ref="A945:B945"/>
    <mergeCell ref="A946:B946"/>
    <mergeCell ref="A947:B947"/>
    <mergeCell ref="A948:B948"/>
    <mergeCell ref="A949:B949"/>
    <mergeCell ref="A851:B851"/>
    <mergeCell ref="A852:B852"/>
    <mergeCell ref="A976:B976"/>
    <mergeCell ref="A977:B977"/>
    <mergeCell ref="A869:D869"/>
    <mergeCell ref="A882:B882"/>
    <mergeCell ref="A883:B883"/>
    <mergeCell ref="A884:D884"/>
    <mergeCell ref="A885:C885"/>
    <mergeCell ref="A965:D965"/>
    <mergeCell ref="A966:D966"/>
    <mergeCell ref="A975:B975"/>
    <mergeCell ref="A964:B964"/>
    <mergeCell ref="A907:D907"/>
    <mergeCell ref="A908:C908"/>
    <mergeCell ref="A972:B972"/>
    <mergeCell ref="A909:C909"/>
    <mergeCell ref="A912:C912"/>
    <mergeCell ref="B212:C212"/>
    <mergeCell ref="E195:F195"/>
    <mergeCell ref="A877:B877"/>
    <mergeCell ref="A878:B878"/>
    <mergeCell ref="A848:B848"/>
    <mergeCell ref="A853:B853"/>
    <mergeCell ref="A847:B847"/>
    <mergeCell ref="A849:B849"/>
    <mergeCell ref="A850:B850"/>
    <mergeCell ref="B228:C228"/>
    <mergeCell ref="B232:C232"/>
    <mergeCell ref="B236:C236"/>
    <mergeCell ref="B216:C216"/>
    <mergeCell ref="B220:C220"/>
    <mergeCell ref="B240:C240"/>
    <mergeCell ref="A265:L265"/>
    <mergeCell ref="E224:L224"/>
    <mergeCell ref="E228:L228"/>
    <mergeCell ref="E232:L232"/>
    <mergeCell ref="E236:L236"/>
    <mergeCell ref="E201:L201"/>
    <mergeCell ref="E204:L204"/>
    <mergeCell ref="A880:B880"/>
    <mergeCell ref="A881:B881"/>
    <mergeCell ref="A903:B903"/>
    <mergeCell ref="I24:K24"/>
    <mergeCell ref="F24:H24"/>
    <mergeCell ref="A906:B906"/>
    <mergeCell ref="A890:C890"/>
    <mergeCell ref="A891:C891"/>
    <mergeCell ref="A165:D165"/>
    <mergeCell ref="E165:F165"/>
    <mergeCell ref="A370:C370"/>
    <mergeCell ref="B196:F196"/>
    <mergeCell ref="B197:F197"/>
    <mergeCell ref="B201:C201"/>
    <mergeCell ref="B204:C204"/>
    <mergeCell ref="B208:C208"/>
    <mergeCell ref="E193:F193"/>
    <mergeCell ref="E194:F194"/>
    <mergeCell ref="E189:F189"/>
    <mergeCell ref="E208:L208"/>
    <mergeCell ref="E212:L212"/>
    <mergeCell ref="E216:L216"/>
    <mergeCell ref="E220:L220"/>
    <mergeCell ref="A904:B904"/>
    <mergeCell ref="A967:D967"/>
    <mergeCell ref="A937:D937"/>
    <mergeCell ref="A938:C938"/>
    <mergeCell ref="A973:B973"/>
    <mergeCell ref="A971:B971"/>
    <mergeCell ref="A913:C913"/>
    <mergeCell ref="A916:B916"/>
    <mergeCell ref="F14:G14"/>
    <mergeCell ref="H14:I14"/>
    <mergeCell ref="A865:B865"/>
    <mergeCell ref="A866:B866"/>
    <mergeCell ref="A867:B867"/>
    <mergeCell ref="A868:B868"/>
    <mergeCell ref="A861:D861"/>
    <mergeCell ref="A862:B862"/>
    <mergeCell ref="A863:B863"/>
    <mergeCell ref="A864:B864"/>
    <mergeCell ref="A870:C870"/>
    <mergeCell ref="A855:C855"/>
    <mergeCell ref="A856:C856"/>
    <mergeCell ref="A854:D854"/>
    <mergeCell ref="A859:C859"/>
    <mergeCell ref="A860:C860"/>
    <mergeCell ref="A879:B879"/>
    <mergeCell ref="A914:D914"/>
    <mergeCell ref="A917:B917"/>
    <mergeCell ref="A918:B918"/>
    <mergeCell ref="A919:B919"/>
    <mergeCell ref="A963:B963"/>
    <mergeCell ref="A928:C928"/>
    <mergeCell ref="A929:D929"/>
    <mergeCell ref="A930:B930"/>
    <mergeCell ref="A931:B931"/>
    <mergeCell ref="A936:B936"/>
    <mergeCell ref="A933:B933"/>
    <mergeCell ref="A934:B934"/>
    <mergeCell ref="A935:B935"/>
    <mergeCell ref="A932:B932"/>
    <mergeCell ref="A980:D980"/>
    <mergeCell ref="A915:B915"/>
    <mergeCell ref="A920:B920"/>
    <mergeCell ref="A921:B921"/>
    <mergeCell ref="A922:D922"/>
    <mergeCell ref="A923:C923"/>
    <mergeCell ref="A924:C924"/>
    <mergeCell ref="A927:C927"/>
    <mergeCell ref="A974:B974"/>
    <mergeCell ref="A950:B950"/>
    <mergeCell ref="A951:B951"/>
    <mergeCell ref="A959:B959"/>
    <mergeCell ref="A960:B960"/>
    <mergeCell ref="A961:B961"/>
    <mergeCell ref="A962:B962"/>
    <mergeCell ref="A970:D970"/>
    <mergeCell ref="A939:C939"/>
    <mergeCell ref="A944:D944"/>
    <mergeCell ref="A952:D952"/>
    <mergeCell ref="A953:D953"/>
    <mergeCell ref="A954:D954"/>
    <mergeCell ref="A957:D957"/>
    <mergeCell ref="A978:D978"/>
    <mergeCell ref="A979:D979"/>
    <mergeCell ref="I56:L56"/>
    <mergeCell ref="I57:L57"/>
    <mergeCell ref="I60:L60"/>
    <mergeCell ref="C62:F62"/>
    <mergeCell ref="A15:C17"/>
    <mergeCell ref="A48:B50"/>
    <mergeCell ref="D48:E50"/>
    <mergeCell ref="G48:H50"/>
    <mergeCell ref="J48:K50"/>
    <mergeCell ref="A38:B38"/>
    <mergeCell ref="C44:K44"/>
    <mergeCell ref="J53:K53"/>
    <mergeCell ref="A56:B58"/>
    <mergeCell ref="J54:K54"/>
    <mergeCell ref="C45:K45"/>
    <mergeCell ref="C52:F52"/>
    <mergeCell ref="H52:I52"/>
    <mergeCell ref="J52:K52"/>
    <mergeCell ref="C53:F53"/>
    <mergeCell ref="H22:I22"/>
    <mergeCell ref="A24:B24"/>
    <mergeCell ref="C28:K28"/>
    <mergeCell ref="C36:K36"/>
    <mergeCell ref="C42:K42"/>
    <mergeCell ref="C46:K46"/>
    <mergeCell ref="C26:K26"/>
    <mergeCell ref="C27:K27"/>
    <mergeCell ref="A26:B28"/>
    <mergeCell ref="H8:I8"/>
    <mergeCell ref="H9:I9"/>
    <mergeCell ref="F8:G10"/>
    <mergeCell ref="H10:I10"/>
    <mergeCell ref="H18:I18"/>
    <mergeCell ref="C38:E38"/>
    <mergeCell ref="F38:H38"/>
    <mergeCell ref="A30:B32"/>
    <mergeCell ref="A34:B36"/>
    <mergeCell ref="C40:K40"/>
    <mergeCell ref="C41:K41"/>
    <mergeCell ref="A40:B42"/>
    <mergeCell ref="A20:C20"/>
    <mergeCell ref="C24:E24"/>
    <mergeCell ref="F16:G16"/>
    <mergeCell ref="H16:I16"/>
    <mergeCell ref="A18:C19"/>
    <mergeCell ref="C31:K31"/>
    <mergeCell ref="C34:K34"/>
    <mergeCell ref="C35:K35"/>
    <mergeCell ref="I100:L100"/>
    <mergeCell ref="A94:B96"/>
    <mergeCell ref="I94:L94"/>
    <mergeCell ref="I95:L95"/>
    <mergeCell ref="C98:F98"/>
    <mergeCell ref="C99:F99"/>
    <mergeCell ref="A98:B100"/>
    <mergeCell ref="I98:L98"/>
    <mergeCell ref="I99:L99"/>
    <mergeCell ref="I96:L96"/>
    <mergeCell ref="C96:F96"/>
    <mergeCell ref="N145:N146"/>
    <mergeCell ref="K145:M146"/>
    <mergeCell ref="J179:M181"/>
    <mergeCell ref="K163:M164"/>
    <mergeCell ref="N163:N164"/>
    <mergeCell ref="N165:N167"/>
    <mergeCell ref="K165:M167"/>
    <mergeCell ref="K169:M171"/>
    <mergeCell ref="N169:N171"/>
    <mergeCell ref="K173:M175"/>
    <mergeCell ref="N173:N175"/>
    <mergeCell ref="J159:J178"/>
    <mergeCell ref="K178:M178"/>
    <mergeCell ref="K172:M172"/>
    <mergeCell ref="K156:M156"/>
    <mergeCell ref="K147:M149"/>
    <mergeCell ref="N147:N149"/>
    <mergeCell ref="K150:M152"/>
    <mergeCell ref="N150:N152"/>
    <mergeCell ref="K176:M176"/>
    <mergeCell ref="K177:M177"/>
    <mergeCell ref="K168:M168"/>
    <mergeCell ref="A286:A289"/>
    <mergeCell ref="D287:D289"/>
    <mergeCell ref="H279:H281"/>
    <mergeCell ref="H282:H284"/>
    <mergeCell ref="F279:F281"/>
    <mergeCell ref="D279:D281"/>
    <mergeCell ref="B279:B281"/>
    <mergeCell ref="B282:B284"/>
    <mergeCell ref="D282:D284"/>
    <mergeCell ref="F282:F284"/>
    <mergeCell ref="A279:A281"/>
    <mergeCell ref="A282:A284"/>
    <mergeCell ref="H439:H441"/>
    <mergeCell ref="D444:D446"/>
    <mergeCell ref="E207:L207"/>
    <mergeCell ref="B210:C210"/>
    <mergeCell ref="E210:L210"/>
    <mergeCell ref="B211:C211"/>
    <mergeCell ref="E211:L211"/>
    <mergeCell ref="B214:C214"/>
    <mergeCell ref="E214:L214"/>
    <mergeCell ref="B215:C215"/>
    <mergeCell ref="E215:L215"/>
    <mergeCell ref="B218:C218"/>
    <mergeCell ref="E218:L218"/>
    <mergeCell ref="B222:C222"/>
    <mergeCell ref="E222:L222"/>
    <mergeCell ref="B226:C226"/>
    <mergeCell ref="E226:L226"/>
    <mergeCell ref="F287:F289"/>
    <mergeCell ref="A270:L270"/>
    <mergeCell ref="A276:C276"/>
    <mergeCell ref="A266:L266"/>
    <mergeCell ref="E240:L240"/>
    <mergeCell ref="E261:L261"/>
    <mergeCell ref="A327:A329"/>
    <mergeCell ref="A442:A446"/>
    <mergeCell ref="D459:D461"/>
    <mergeCell ref="D469:D471"/>
    <mergeCell ref="F469:F471"/>
    <mergeCell ref="A466:A468"/>
    <mergeCell ref="B466:B468"/>
    <mergeCell ref="D466:D468"/>
    <mergeCell ref="F466:F468"/>
    <mergeCell ref="H466:H468"/>
    <mergeCell ref="A469:A471"/>
    <mergeCell ref="B469:B471"/>
    <mergeCell ref="H469:H471"/>
    <mergeCell ref="A457:A461"/>
    <mergeCell ref="A451:A453"/>
    <mergeCell ref="B451:B453"/>
    <mergeCell ref="D451:D453"/>
    <mergeCell ref="F451:F453"/>
    <mergeCell ref="H451:H453"/>
    <mergeCell ref="A454:A456"/>
    <mergeCell ref="B454:B456"/>
    <mergeCell ref="D454:D456"/>
    <mergeCell ref="F454:F456"/>
    <mergeCell ref="H454:H456"/>
    <mergeCell ref="D474:D476"/>
    <mergeCell ref="A481:A483"/>
    <mergeCell ref="B481:B483"/>
    <mergeCell ref="D481:D483"/>
    <mergeCell ref="F481:F483"/>
    <mergeCell ref="H481:H483"/>
    <mergeCell ref="A484:A486"/>
    <mergeCell ref="B484:B486"/>
    <mergeCell ref="D484:D486"/>
    <mergeCell ref="F484:F486"/>
    <mergeCell ref="H484:H486"/>
    <mergeCell ref="A472:A476"/>
    <mergeCell ref="D489:D491"/>
    <mergeCell ref="A496:A498"/>
    <mergeCell ref="B496:B498"/>
    <mergeCell ref="D496:D498"/>
    <mergeCell ref="F496:F498"/>
    <mergeCell ref="H496:H498"/>
    <mergeCell ref="A499:A501"/>
    <mergeCell ref="B499:B501"/>
    <mergeCell ref="D499:D501"/>
    <mergeCell ref="F499:F501"/>
    <mergeCell ref="H499:H501"/>
    <mergeCell ref="A487:A491"/>
    <mergeCell ref="A511:A513"/>
    <mergeCell ref="B511:B513"/>
    <mergeCell ref="D511:D513"/>
    <mergeCell ref="F511:F513"/>
    <mergeCell ref="H511:H513"/>
    <mergeCell ref="A502:A506"/>
    <mergeCell ref="A517:A521"/>
    <mergeCell ref="D519:D521"/>
    <mergeCell ref="A514:A516"/>
    <mergeCell ref="B514:B516"/>
    <mergeCell ref="D514:D516"/>
    <mergeCell ref="F514:F516"/>
    <mergeCell ref="H514:H516"/>
    <mergeCell ref="A526:A528"/>
    <mergeCell ref="B526:B528"/>
    <mergeCell ref="D526:D528"/>
    <mergeCell ref="A529:A531"/>
    <mergeCell ref="B529:B531"/>
    <mergeCell ref="D529:D531"/>
    <mergeCell ref="F526:F528"/>
    <mergeCell ref="F529:F531"/>
    <mergeCell ref="H526:H528"/>
    <mergeCell ref="H529:H531"/>
    <mergeCell ref="A532:A536"/>
    <mergeCell ref="D544:D546"/>
    <mergeCell ref="F544:F546"/>
    <mergeCell ref="D547:D549"/>
    <mergeCell ref="F547:F549"/>
    <mergeCell ref="A550:A554"/>
    <mergeCell ref="D552:D554"/>
    <mergeCell ref="A544:A546"/>
    <mergeCell ref="B544:B546"/>
    <mergeCell ref="A547:A549"/>
    <mergeCell ref="B547:B549"/>
    <mergeCell ref="A565:A569"/>
    <mergeCell ref="D567:D569"/>
    <mergeCell ref="A559:A561"/>
    <mergeCell ref="B559:B561"/>
    <mergeCell ref="A562:A564"/>
    <mergeCell ref="B562:B564"/>
    <mergeCell ref="D559:D561"/>
    <mergeCell ref="D562:D564"/>
    <mergeCell ref="F559:F561"/>
    <mergeCell ref="F562:F564"/>
    <mergeCell ref="A589:A591"/>
    <mergeCell ref="B589:B591"/>
    <mergeCell ref="A592:A594"/>
    <mergeCell ref="B592:B594"/>
    <mergeCell ref="D589:D591"/>
    <mergeCell ref="D592:D594"/>
    <mergeCell ref="A574:A576"/>
    <mergeCell ref="A577:A579"/>
    <mergeCell ref="H574:H576"/>
    <mergeCell ref="H577:H579"/>
    <mergeCell ref="A580:A584"/>
    <mergeCell ref="D582:D584"/>
    <mergeCell ref="B574:B576"/>
    <mergeCell ref="D574:D576"/>
    <mergeCell ref="F574:F576"/>
    <mergeCell ref="B577:B579"/>
    <mergeCell ref="D577:D579"/>
    <mergeCell ref="F577:F579"/>
    <mergeCell ref="A604:A606"/>
    <mergeCell ref="B604:B606"/>
    <mergeCell ref="A607:A609"/>
    <mergeCell ref="B607:B609"/>
    <mergeCell ref="D604:D606"/>
    <mergeCell ref="F604:F606"/>
    <mergeCell ref="H604:H606"/>
    <mergeCell ref="H607:H609"/>
    <mergeCell ref="A595:A599"/>
    <mergeCell ref="D597:D599"/>
    <mergeCell ref="D607:D609"/>
    <mergeCell ref="F607:F609"/>
    <mergeCell ref="A610:A614"/>
    <mergeCell ref="D612:D614"/>
    <mergeCell ref="A619:A621"/>
    <mergeCell ref="B619:B621"/>
    <mergeCell ref="A622:A624"/>
    <mergeCell ref="B622:B624"/>
    <mergeCell ref="D619:D621"/>
    <mergeCell ref="D622:D624"/>
    <mergeCell ref="F619:F621"/>
    <mergeCell ref="F622:F624"/>
    <mergeCell ref="A625:A629"/>
    <mergeCell ref="D627:D629"/>
    <mergeCell ref="D637:D639"/>
    <mergeCell ref="F637:F639"/>
    <mergeCell ref="A640:A644"/>
    <mergeCell ref="D642:D644"/>
    <mergeCell ref="A634:A636"/>
    <mergeCell ref="B634:B636"/>
    <mergeCell ref="A637:A639"/>
    <mergeCell ref="B637:B639"/>
    <mergeCell ref="D634:D636"/>
    <mergeCell ref="F634:F636"/>
    <mergeCell ref="A649:A651"/>
    <mergeCell ref="B649:B651"/>
    <mergeCell ref="D649:D651"/>
    <mergeCell ref="F649:F651"/>
    <mergeCell ref="H649:H651"/>
    <mergeCell ref="A652:A654"/>
    <mergeCell ref="B652:B654"/>
    <mergeCell ref="D652:D654"/>
    <mergeCell ref="F652:F654"/>
    <mergeCell ref="H652:H654"/>
    <mergeCell ref="A682:A684"/>
    <mergeCell ref="B682:B684"/>
    <mergeCell ref="D679:D681"/>
    <mergeCell ref="D682:D684"/>
    <mergeCell ref="F679:F681"/>
    <mergeCell ref="F682:F684"/>
    <mergeCell ref="A655:A659"/>
    <mergeCell ref="D657:D659"/>
    <mergeCell ref="D667:D669"/>
    <mergeCell ref="F667:F669"/>
    <mergeCell ref="A670:A674"/>
    <mergeCell ref="D672:D674"/>
    <mergeCell ref="A664:A666"/>
    <mergeCell ref="B664:B666"/>
    <mergeCell ref="A667:A669"/>
    <mergeCell ref="B667:B669"/>
    <mergeCell ref="D664:D666"/>
    <mergeCell ref="F664:F666"/>
    <mergeCell ref="H544:H546"/>
    <mergeCell ref="H547:H549"/>
    <mergeCell ref="H559:H561"/>
    <mergeCell ref="H562:H564"/>
    <mergeCell ref="D534:D536"/>
    <mergeCell ref="D504:D506"/>
    <mergeCell ref="A700:A704"/>
    <mergeCell ref="D702:D704"/>
    <mergeCell ref="A694:A696"/>
    <mergeCell ref="B694:B696"/>
    <mergeCell ref="A697:A699"/>
    <mergeCell ref="B697:B699"/>
    <mergeCell ref="D694:D696"/>
    <mergeCell ref="D697:D699"/>
    <mergeCell ref="F694:F696"/>
    <mergeCell ref="F697:F699"/>
    <mergeCell ref="H694:H696"/>
    <mergeCell ref="H697:H699"/>
    <mergeCell ref="A685:A689"/>
    <mergeCell ref="D687:D689"/>
    <mergeCell ref="A679:A681"/>
    <mergeCell ref="B679:B681"/>
    <mergeCell ref="H679:H681"/>
    <mergeCell ref="H682:H684"/>
    <mergeCell ref="H619:H621"/>
    <mergeCell ref="H622:H624"/>
    <mergeCell ref="H634:H636"/>
    <mergeCell ref="H637:H639"/>
    <mergeCell ref="F589:F591"/>
    <mergeCell ref="F592:F594"/>
    <mergeCell ref="H589:H591"/>
    <mergeCell ref="H592:H594"/>
    <mergeCell ref="H667:H669"/>
    <mergeCell ref="H664:H666"/>
    <mergeCell ref="B253:C253"/>
    <mergeCell ref="E253:L253"/>
    <mergeCell ref="B248:C248"/>
    <mergeCell ref="E248:L248"/>
    <mergeCell ref="B249:C249"/>
    <mergeCell ref="E249:L249"/>
    <mergeCell ref="B250:C250"/>
    <mergeCell ref="E250:L250"/>
    <mergeCell ref="B251:C251"/>
    <mergeCell ref="E251:L251"/>
    <mergeCell ref="B252:C252"/>
    <mergeCell ref="E252:L252"/>
    <mergeCell ref="B238:C238"/>
    <mergeCell ref="E238:L238"/>
    <mergeCell ref="H20:I20"/>
    <mergeCell ref="B244:C244"/>
    <mergeCell ref="E244:L244"/>
    <mergeCell ref="B245:C245"/>
    <mergeCell ref="E245:L245"/>
    <mergeCell ref="B246:C246"/>
    <mergeCell ref="E246:L246"/>
    <mergeCell ref="B223:C223"/>
    <mergeCell ref="B230:C230"/>
    <mergeCell ref="E230:L230"/>
    <mergeCell ref="B234:C234"/>
    <mergeCell ref="E234:L234"/>
    <mergeCell ref="B235:C235"/>
    <mergeCell ref="E235:L235"/>
    <mergeCell ref="B239:C239"/>
    <mergeCell ref="E239:L239"/>
    <mergeCell ref="B219:C219"/>
    <mergeCell ref="E219:L219"/>
    <mergeCell ref="E223:L223"/>
    <mergeCell ref="B227:C227"/>
    <mergeCell ref="I102:L102"/>
    <mergeCell ref="I103:L103"/>
    <mergeCell ref="A1:C2"/>
    <mergeCell ref="M1:N1"/>
    <mergeCell ref="M2:N2"/>
    <mergeCell ref="O1:P1"/>
    <mergeCell ref="O2:P2"/>
    <mergeCell ref="I1:K1"/>
    <mergeCell ref="I2:K2"/>
    <mergeCell ref="D1:H2"/>
    <mergeCell ref="B247:C247"/>
    <mergeCell ref="E247:L247"/>
    <mergeCell ref="A112:B114"/>
    <mergeCell ref="E227:L227"/>
    <mergeCell ref="B231:C231"/>
    <mergeCell ref="E231:L231"/>
    <mergeCell ref="B202:C202"/>
    <mergeCell ref="B203:C203"/>
    <mergeCell ref="E202:L202"/>
    <mergeCell ref="E203:L203"/>
    <mergeCell ref="B206:C206"/>
    <mergeCell ref="E206:L206"/>
    <mergeCell ref="B207:C207"/>
    <mergeCell ref="H109:L109"/>
    <mergeCell ref="N153:N155"/>
    <mergeCell ref="K153:M155"/>
  </mergeCells>
  <dataValidations count="11">
    <dataValidation type="custom" allowBlank="1" showInputMessage="1" showErrorMessage="1" errorTitle="CAMPO INSERITO ERRATO" error="Digitare X" sqref="F51 I51 C51" xr:uid="{00000000-0002-0000-0200-000000000000}">
      <formula1>IF(C51="X",TRUE,FALSE)</formula1>
    </dataValidation>
    <dataValidation allowBlank="1" showInputMessage="1" showErrorMessage="1" errorTitle="CAMPO INSERITO ERRATO" error="Digitare X" sqref="O180:O181 H180 H183 H186 O155 H192 O152 C114 F50 I50 L50 O149 P166 O171 O175 H171 H143 H146 H177 H152 D17 G281 I284 C281 I287:I289 E284 G699 A254:A256 H155 I281 E281 G284 K287:K289 G289 C284 C296 I311 G684 E684 E296 I356 I296 G299 G304 C299 C311 G296 G311 I314 E311 E299 I317:I319 G314 C326 E326 G326 E314 I299 E329 G319 G329 I332:I334 C314 G334 C329 C341 I341 G341 I344 E341 I326 I347:I349 G344 C356 E356 G356 E344 I329 E359 G349 G359 I362:I364 E372 G372 C344 G364 K702:K704 K657:K659 I384:I386 K687:K689 K672:K674 I399:I401 K627:K629 K642:K644 C359 I414:I416 I429:I431 C378 C381 K597:K599 I444:I446 I459:I461 C411 K612:K614 K567:K569 I474:I476 I489:I491 K582:K584 I504:I506 K519:K521 I519:I521 G516 I534:I536 C501 E516 E531 K504:K506 C516 C531 I552:I554 I567:I569 G531 C546 K474:K476 I582:I584 I597:I599 K489:K491 C549 K444:K446 I612:I614 I627:I629 C579 K459:K461 K414:K416 I642:I644 I657:I659 K429:K431 I672:I674 G669 I687:I689 C684 I702:I704 C120:J120 C138:L138 C132:J132 C123:L123 C135:L135 D204:D205 A204:A205 A208:A209 D208:D209 D212:D213 A212:A213 D216:D217 A216:A217 D220 A220 D224 A224 D228 A228 D232 A232 D236 A236 A240:A243 D240:D243 D254:D256 E289 C441 K534:K536 K552:K554 C471 C609 E669 C639 K399:K401 C669 C699 K302:K304 K317:K319 K332:K334 K347:K349 K362:K364 K384:K386 E699 I359 O167 C126:M126 H174 H149 H158 H161" xr:uid="{00000000-0002-0000-0200-000001000000}"/>
    <dataValidation type="list" allowBlank="1" showInputMessage="1" showErrorMessage="1" sqref="I853:I856 I862:I865" xr:uid="{00000000-0002-0000-0200-000002000000}">
      <formula1>$P$837:$P$841</formula1>
    </dataValidation>
    <dataValidation type="custom" errorStyle="information" allowBlank="1" showInputMessage="1" showErrorMessage="1" errorTitle="CAMPO INSERITO ERRATO" error="Digitare X" sqref="E306 E351 E321 E336 E291" xr:uid="{00000000-0002-0000-0200-000003000000}">
      <formula1>IF(E291="X",TRUE,FALSE)</formula1>
    </dataValidation>
    <dataValidation errorStyle="information" allowBlank="1" showInputMessage="1" showErrorMessage="1" errorTitle="CAMPO INSERITO ERRATO" error="Digitare A, B, C, 0,2S" sqref="H195" xr:uid="{00000000-0002-0000-0200-000004000000}"/>
    <dataValidation allowBlank="1" showInputMessage="1" showErrorMessage="1" errorTitle="CAMPO INSERITO ERRATO" error="Digitare A, B, C, 0,2S" sqref="H189" xr:uid="{00000000-0002-0000-0200-000005000000}"/>
    <dataValidation type="custom" errorStyle="information" allowBlank="1" showInputMessage="1" showErrorMessage="1" errorTitle="CAMPO INSERITO ERRATO" error="Digitare X" sqref="O130:O132" xr:uid="{00000000-0002-0000-0200-000006000000}">
      <formula1>"X"</formula1>
    </dataValidation>
    <dataValidation type="list" allowBlank="1" showInputMessage="1" showErrorMessage="1" sqref="D237 D233 D229 D225 D221" xr:uid="{00000000-0002-0000-0200-000007000000}">
      <formula1>#REF!</formula1>
    </dataValidation>
    <dataValidation type="custom" showInputMessage="1" showErrorMessage="1" errorTitle="ERRORE" error="Documento già firmato da OPE. Per modificare togliere firma OPE" sqref="H164" xr:uid="{00000000-0002-0000-0200-000008000000}">
      <formula1>IF($J$19="",TRUE,FALSE)</formula1>
    </dataValidation>
    <dataValidation showInputMessage="1" showErrorMessage="1" errorTitle="ERRORE" error="Documento già firmato da OPE. Per modificare togliere firma OPE" sqref="H16:I16" xr:uid="{00000000-0002-0000-0200-000009000000}"/>
    <dataValidation type="custom" showInputMessage="1" showErrorMessage="1" errorTitle="ERRORE" error="Documento già firmato da OPE. Per modificare togliere firma OPE" sqref="O168 O172" xr:uid="{00000000-0002-0000-0200-00000A000000}">
      <formula1>IF($J$21="",TRUE,FALSE)</formula1>
    </dataValidation>
  </dataValidations>
  <pageMargins left="0.70866141732283472" right="0.70866141732283472" top="0.74803149606299213" bottom="0.74803149606299213" header="0.31496062992125984" footer="0.31496062992125984"/>
  <pageSetup paperSize="9" scale="28" fitToHeight="4" orientation="landscape" r:id="rId1"/>
  <headerFooter>
    <oddFooter>&amp;CModulo ENE-Mod-504-02-02     Revisione 08     Approvato da RQ     Data emissione 20/05/2019&amp;R&amp;P di &amp;N</oddFooter>
  </headerFooter>
  <rowBreaks count="12" manualBreakCount="12">
    <brk id="80" max="15" man="1"/>
    <brk id="139" max="15" man="1"/>
    <brk id="198" max="15" man="1"/>
    <brk id="273" max="15" man="1"/>
    <brk id="367" max="15" man="1"/>
    <brk id="463" max="15" man="1"/>
    <brk id="539" max="15" man="1"/>
    <brk id="631" max="15" man="1"/>
    <brk id="707" max="15" man="1"/>
    <brk id="754" max="15" man="1"/>
    <brk id="833" max="15" man="1"/>
    <brk id="939" max="15" man="1"/>
  </rowBreaks>
  <drawing r:id="rId2"/>
  <legacyDrawing r:id="rId3"/>
  <extLst>
    <ext xmlns:x14="http://schemas.microsoft.com/office/spreadsheetml/2009/9/main" uri="{CCE6A557-97BC-4b89-ADB6-D9C93CAAB3DF}">
      <x14:dataValidations xmlns:xm="http://schemas.microsoft.com/office/excel/2006/main" count="25">
        <x14:dataValidation type="custom" showInputMessage="1" showErrorMessage="1" errorTitle="ERRORE" error="Documento già firmato da OPE. Per modificare togliere firma OPE" xr:uid="{00000000-0002-0000-0200-00000B000000}">
          <x14:formula1>
            <xm:f>IF('FIRME-CONTROLLO DATI'!$J$23="",TRUE,FALSE)</xm:f>
          </x14:formula1>
          <xm:sqref>A710:L753 H193 H191 O174 O170 O166 O154 O151 O148 H107:L109 C7:D7 H162:H163 H170 A265:L269 E258:L262 A258:C262</xm:sqref>
        </x14:dataValidation>
        <x14:dataValidation type="custom" showInputMessage="1" showErrorMessage="1" errorTitle="CAMPO INSERITO ERRATO" error="Digitare 1 o 0,5 o 0,5S o 0,2 o 0,2S o 0,1" xr:uid="{00000000-0002-0000-0200-00000C000000}">
          <x14:formula1>
            <xm:f>IF(AND('FIRME-CONTROLLO DATI'!$J$23="",OR(O146="1",O146="0,5",O146="0,5S",O146="0,2",O146="0,2S",O146="0,1")),TRUE,FALSE)</xm:f>
          </x14:formula1>
          <xm:sqref>O146</xm:sqref>
        </x14:dataValidation>
        <x14:dataValidation type="custom" showInputMessage="1" showErrorMessage="1" errorTitle="CAMPO INSERITO ERRATO" error="Digitare 1 o 0,5 o 0,2 o 0,1" xr:uid="{00000000-0002-0000-0200-00000D000000}">
          <x14:formula1>
            <xm:f>IF(AND('FIRME-CONTROLLO DATI'!$J$23="",OR(O164="1",O164="0,5",O164="0,2",O164="0,1")),TRUE,FALSE)</xm:f>
          </x14:formula1>
          <xm:sqref>O164</xm:sqref>
        </x14:dataValidation>
        <x14:dataValidation type="custom" showInputMessage="1" showErrorMessage="1" errorTitle="CAMPO INSERITO ERRATO" error="Digitare A, B, C, 0,2S, 2, 1, 0,5S, 0,5" xr:uid="{00000000-0002-0000-0200-00000E000000}">
          <x14:formula1>
            <xm:f>IF(AND('FIRME-CONTROLLO DATI'!$J$23="",OR(H188="A",H188="B",H188="C",H188="0,2S",H188="2",H188="1",H188="0,5S",H188="0,5")),TRUE,FALSE)</xm:f>
          </x14:formula1>
          <xm:sqref>H188</xm:sqref>
        </x14:dataValidation>
        <x14:dataValidation type="custom" showInputMessage="1" showErrorMessage="1" errorTitle="CAMPO INSERITO ERRATO" error="Digitare X oppure mancanza di autorizzazione per presenza firme" xr:uid="{00000000-0002-0000-0200-00000F000000}">
          <x14:formula1>
            <xm:f>IF(AND(B16="X",'FIRME-CONTROLLO DATI'!$J$23=""),TRUE,FALSE)</xm:f>
          </x14:formula1>
          <xm:sqref>D16 D19 E371 E837:E838 E890:E891 H148 H151 H154 O141:O144 O159:O162 O179 B278 C290 E290 G290 I290 B293 C305 E305 G305 I305 B308 C320 E320 G320 I320 B323 C335 E335 G335 I335 B338 C350 E350 G350 I350 B353 C365 E365 G365 I365 B375 B390 B405 B420 B435 B450 B465 B480 B495 B510 B525 B543 B558 B573 B588 B603 B618 B633 B648 B663 B678 B693 F49 I49 L49 H142 H145 H173 H176 H179 H182 H185 G371 H157 H160</xm:sqref>
        </x14:dataValidation>
        <x14:dataValidation type="list" showInputMessage="1" showErrorMessage="1" errorTitle="ERRORE" error="Documento già firmato da OPE. Per modificare togliere firma OPE" xr:uid="{00000000-0002-0000-0200-000010000000}">
          <x14:formula1>
            <xm:f>IF('FIRME-CONTROLLO DATI'!$J$23="",TABELLE!$B$3:$B$15,FALSE)</xm:f>
          </x14:formula1>
          <xm:sqref>H19:I19</xm:sqref>
        </x14:dataValidation>
        <x14:dataValidation type="list" showInputMessage="1" showErrorMessage="1" errorTitle="ERRORE" error="Documento già firmato da OPE. Per modificare togliere firma OPE" xr:uid="{00000000-0002-0000-0200-000011000000}">
          <x14:formula1>
            <xm:f>IF('FIRME-CONTROLLO DATI'!$J$23="",TABELLE!$B$19:$B$23,FALSE)</xm:f>
          </x14:formula1>
          <xm:sqref>H22:I22</xm:sqref>
        </x14:dataValidation>
        <x14:dataValidation type="list" showInputMessage="1" showErrorMessage="1" errorTitle="ERRORE" error="Documento già firmato da OPE. Per modificare togliere firma OPE" xr:uid="{00000000-0002-0000-0200-000012000000}">
          <x14:formula1>
            <xm:f>IF('FIRME-CONTROLLO DATI'!$J$23="",TABELLE!$B$32:$B$37,FALSE)</xm:f>
          </x14:formula1>
          <xm:sqref>C53:F53</xm:sqref>
        </x14:dataValidation>
        <x14:dataValidation type="list" showInputMessage="1" showErrorMessage="1" errorTitle="ERRORE" error="Documento già firmato da OPE. Per modificare togliere firma OPE" xr:uid="{00000000-0002-0000-0200-000013000000}">
          <x14:formula1>
            <xm:f>IF('FIRME-CONTROLLO DATI'!$J$23="",TABELLE!$B$27:$B$28,FALSE)</xm:f>
          </x14:formula1>
          <xm:sqref>C73:D73</xm:sqref>
        </x14:dataValidation>
        <x14:dataValidation type="list" showInputMessage="1" showErrorMessage="1" errorTitle="ERRORE" error="Documento già firmato da OPE. Per modificare togliere firma OPE" xr:uid="{00000000-0002-0000-0200-000014000000}">
          <x14:formula1>
            <xm:f>IF('FIRME-CONTROLLO DATI'!$J$23="",TABELLE!$B$41:$B$45,FALSE)</xm:f>
          </x14:formula1>
          <xm:sqref>E73:F73</xm:sqref>
        </x14:dataValidation>
        <x14:dataValidation type="list" showInputMessage="1" showErrorMessage="1" errorTitle="ERRORE" error="Documento già firmato da OPE. Per modificare togliere firma OPE" xr:uid="{00000000-0002-0000-0200-000015000000}">
          <x14:formula1>
            <xm:f>IF('FIRME-CONTROLLO DATI'!$J$23="",TABELLE!$B$51:$B$57,FALSE)</xm:f>
          </x14:formula1>
          <xm:sqref>E78:F78</xm:sqref>
        </x14:dataValidation>
        <x14:dataValidation type="list" showInputMessage="1" showErrorMessage="1" errorTitle="ERRORE" error="Documento già firmato da OPE. Per modificare togliere firma OPE" xr:uid="{00000000-0002-0000-0200-000016000000}">
          <x14:formula1>
            <xm:f>IF('FIRME-CONTROLLO DATI'!$J$23="",TABELLE!$B$114:$B$116,FALSE)</xm:f>
          </x14:formula1>
          <xm:sqref>F107:F109</xm:sqref>
        </x14:dataValidation>
        <x14:dataValidation type="list" showInputMessage="1" showErrorMessage="1" errorTitle="ERRORE" error="Documento già firmato da OPE. Per modificare togliere firma OPE" xr:uid="{00000000-0002-0000-0200-000017000000}">
          <x14:formula1>
            <xm:f>IF('FIRME-CONTROLLO DATI'!$J$23="",TABELLE!$B$108:$B$110,FALSE)</xm:f>
          </x14:formula1>
          <xm:sqref>G107:G109</xm:sqref>
        </x14:dataValidation>
        <x14:dataValidation type="list" showInputMessage="1" showErrorMessage="1" errorTitle="ERRORE" error="Documento già firmato da OPE. Per modificare togliere firma OPE" xr:uid="{00000000-0002-0000-0200-000018000000}">
          <x14:formula1>
            <xm:f>IF('FIRME-CONTROLLO DATI'!$J$23="",TABELLE!$B$65:$B$104,FALSE)</xm:f>
          </x14:formula1>
          <xm:sqref>C119:J119 C131:J131</xm:sqref>
        </x14:dataValidation>
        <x14:dataValidation type="list" showInputMessage="1" showErrorMessage="1" errorTitle="ERRORE" error="Documento già firmato da OPE. Per modificare togliere firma OPE" xr:uid="{00000000-0002-0000-0200-000019000000}">
          <x14:formula1>
            <xm:f>IF('FIRME-CONTROLLO DATI'!$J$23="",TABELLE!$B$130:$B$131,FALSE)</xm:f>
          </x14:formula1>
          <xm:sqref>P168</xm:sqref>
        </x14:dataValidation>
        <x14:dataValidation type="list" showInputMessage="1" showErrorMessage="1" errorTitle="ERRORE" error="Documento già firmato da OPE. Per modificare togliere firma OPE" xr:uid="{00000000-0002-0000-0200-00001A000000}">
          <x14:formula1>
            <xm:f>IF('FIRME-CONTROLLO DATI'!$J$23="",TABELLE!$B$137:$B$140,FALSE)</xm:f>
          </x14:formula1>
          <xm:sqref>D203</xm:sqref>
        </x14:dataValidation>
        <x14:dataValidation type="list" showInputMessage="1" showErrorMessage="1" errorTitle="ERRORE" error="Documento già firmato da OPE. Per modificare togliere firma OPE" xr:uid="{00000000-0002-0000-0200-00001B000000}">
          <x14:formula1>
            <xm:f>IF('FIRME-CONTROLLO DATI'!$J$23="",TABELLE!$B$125:$B$126,FALSE)</xm:f>
          </x14:formula1>
          <xm:sqref>E288</xm:sqref>
        </x14:dataValidation>
        <x14:dataValidation type="list" showInputMessage="1" showErrorMessage="1" errorTitle="ERRORE" error="Documento già firmato da OPE. Per modificare togliere firma OPE" xr:uid="{00000000-0002-0000-0200-00001C000000}">
          <x14:formula1>
            <xm:f>IF('FIRME-CONTROLLO DATI'!$J$23="",TABELLE!$B$120:$B$121,FALSE)</xm:f>
          </x14:formula1>
          <xm:sqref>G286 G301 G316 G331 G346 G361 G383 G551</xm:sqref>
        </x14:dataValidation>
        <x14:dataValidation type="list" showInputMessage="1" showErrorMessage="1" errorTitle="ERRORE" error="Documento già firmato da OPE. Per modificare togliere firma OPE" xr:uid="{00000000-0002-0000-0200-00001D000000}">
          <x14:formula1>
            <xm:f>IF('FIRME-CONTROLLO DATI'!$J$23="",TABELLE!$B$165:$B$173,FALSE)</xm:f>
          </x14:formula1>
          <xm:sqref>C850:C853</xm:sqref>
        </x14:dataValidation>
        <x14:dataValidation type="list" showInputMessage="1" showErrorMessage="1" errorTitle="ERRORE" error="Documento già firmato da OPE. Per modificare togliere firma OPE" xr:uid="{00000000-0002-0000-0200-00001E000000}">
          <x14:formula1>
            <xm:f>IF('FIRME-CONTROLLO DATI'!$J$23="",TABELLE!$B$145:$B$152,FALSE)</xm:f>
          </x14:formula1>
          <xm:sqref>C113</xm:sqref>
        </x14:dataValidation>
        <x14:dataValidation type="list" showInputMessage="1" showErrorMessage="1" errorTitle="ERRORE" error="Documento già firmato da OPE. Per modificare togliere firma OPE" xr:uid="{00000000-0002-0000-0200-00001F000000}">
          <x14:formula1>
            <xm:f>IF($J$21="",TABELLE!$B$137:$B$140,FALSE)</xm:f>
          </x14:formula1>
          <xm:sqref>D239 D207 D211 D215 D219 D223 D227 D231 D258:D262 D235</xm:sqref>
        </x14:dataValidation>
        <x14:dataValidation type="list" showInputMessage="1" showErrorMessage="1" errorTitle="ERRORE" error="Documento già firmato da OPE. Per modificare togliere firma OPE" xr:uid="{00000000-0002-0000-0200-000020000000}">
          <x14:formula1>
            <xm:f>IF($J$21="",TABELLE!$B$165:$B$173,FALSE)</xm:f>
          </x14:formula1>
          <xm:sqref>C865:C868 C974:C977 C961:C964 C948:C951 C933:C936 C918:C921 C903:C906 C880:C883</xm:sqref>
        </x14:dataValidation>
        <x14:dataValidation type="custom" showInputMessage="1" showErrorMessage="1" xr:uid="{00000000-0002-0000-0200-000021000000}">
          <x14:formula1>
            <xm:f>IF('FIRME-CONTROLLO DATI'!$J$23="",TRUE,FALSE)</xm:f>
          </x14:formula1>
          <xm:sqref>C10:D10 H6:I6 H9:I9 H12:I12 H14:I15 C13:D13 F24:H24 C27:K27 C31:K31 C35:K35 F38:H38 C41:K41 C45:K45 J53:K53 C57:F57 I57:L57 C61:F61 I61:L61 C65:F65 I65:L65 C69:F69 I69:L69 I73:L73 C78:D78 I78:L78 C83:F83 I83:L83 C87:F87 I87:L87 C91:F91 I91:L91 C95:F95 I95:L95 C99:F99 I99:L99 C103:F103 I103:L103 C122:L122 C125:L125 C134:L134 C137:L137 A203:C203 E203:L203 E207:L207 A207:C207 A211:C211 E211:L211 E215:L215 A215:C215 A219:C219 E219:L219 A223:C223 E223:L223 E227:L227 A227:C227 A231:C231 E231:L231 E235:L235 A235:C235 A239:C239 E239:L239 C280 E280 G280 I280 I283 G283 E283 C283 G288 J287:J289 C295 E295 G295 I295 I298 G298 E298 C298 G303 J302:J304 C310 E310 G310 I310 I313 G313 E313 C313 G318 J317:J319 C325 E325 G325 I325 I328 G328 E328 C328 G333 J332:J334 C340 E340 G340 I340 I343 G343 E343 C343 G348 J347:J349 C355 E355 G355 I355 I358 G358 E358 C358 G363 J362:J364 C377 C380 J384:J386 J399:J401 C410 J414:J416 J429:J431 C440 J444:J446 J459:J461 C470 J474:J476 J489:J491 C500 J504:J506 E515 J519:J521 G530 J534:J536 C545 C548 J552:J554 J567:J569 C578 J582:J584 J597:J599 C608 J612:J614 J627:J629 C638 J642:J644 J657:J659 C668 J672:J674 E683 J687:J689 G698 J702:J704 C759 E759 A764:E769 C771 E771 A776:E781 C783 E783 A788:E793 C798 E798 A803:E808 C810 E810 A815:E820 C822 E822 A827:E832 E839:E841 D844:D845 E850:E853 D859:D860 E865:E868 D874:D875 E880:E883 E892:E894 D897:D898 E903:E906 D912:D913 E918:E921 D927:D928 E933:E936 E948:E951 E961:E964 E974:E977 D982:D983</xm:sqref>
        </x14:dataValidation>
        <x14:dataValidation type="list" showInputMessage="1" showErrorMessage="1" xr:uid="{00000000-0002-0000-0200-000022000000}">
          <x14:formula1>
            <xm:f>IF('FIRME-CONTROLLO DATI'!$J$23="",TABELLE!$B$65:$B$104,FALSE)</xm:f>
          </x14:formula1>
          <xm:sqref>I286 I301 I316 I331 I346 I361 I383 I551</xm:sqref>
        </x14:dataValidation>
        <x14:dataValidation type="list" showInputMessage="1" showErrorMessage="1" errorTitle="ERRORE" error="Documento già firmato da OPE. Per modificare togliere firma OPE" xr:uid="{00000000-0002-0000-0200-000023000000}">
          <x14:formula1>
            <xm:f>IF('FIRME-CONTROLLO DATI'!J$23="",TABELLE!$B$130:$B$131,FALSE)</xm:f>
          </x14:formula1>
          <xm:sqref>P172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6"/>
  <sheetViews>
    <sheetView topLeftCell="A141" zoomScaleNormal="100" workbookViewId="0">
      <selection activeCell="O157" sqref="O157"/>
    </sheetView>
  </sheetViews>
  <sheetFormatPr defaultRowHeight="15" x14ac:dyDescent="0.25"/>
  <cols>
    <col min="1" max="1" width="9.140625" style="476"/>
    <col min="2" max="2" width="36.140625" style="476" customWidth="1"/>
    <col min="3" max="3" width="27.140625" style="476" bestFit="1" customWidth="1"/>
    <col min="4" max="4" width="29" style="476" bestFit="1" customWidth="1"/>
    <col min="5" max="5" width="11.42578125" style="476" bestFit="1" customWidth="1"/>
    <col min="6" max="6" width="13.7109375" style="476" bestFit="1" customWidth="1"/>
    <col min="7" max="7" width="16.28515625" style="476" bestFit="1" customWidth="1"/>
    <col min="8" max="8" width="13.42578125" style="476" bestFit="1" customWidth="1"/>
    <col min="9" max="10" width="13.85546875" style="476" bestFit="1" customWidth="1"/>
    <col min="11" max="16384" width="9.140625" style="476"/>
  </cols>
  <sheetData>
    <row r="1" spans="2:4" s="485" customFormat="1" x14ac:dyDescent="0.25"/>
    <row r="2" spans="2:4" s="485" customFormat="1" x14ac:dyDescent="0.25">
      <c r="B2" s="493" t="s">
        <v>541</v>
      </c>
    </row>
    <row r="3" spans="2:4" s="485" customFormat="1" x14ac:dyDescent="0.25">
      <c r="B3" s="487" t="s">
        <v>544</v>
      </c>
      <c r="C3" s="487"/>
    </row>
    <row r="4" spans="2:4" s="485" customFormat="1" x14ac:dyDescent="0.25">
      <c r="B4" s="487" t="s">
        <v>545</v>
      </c>
      <c r="C4" s="487" t="s">
        <v>1282</v>
      </c>
    </row>
    <row r="5" spans="2:4" s="485" customFormat="1" x14ac:dyDescent="0.25">
      <c r="B5" s="487" t="s">
        <v>546</v>
      </c>
      <c r="C5" s="487"/>
    </row>
    <row r="6" spans="2:4" s="485" customFormat="1" x14ac:dyDescent="0.25">
      <c r="B6" s="487" t="s">
        <v>547</v>
      </c>
      <c r="C6" s="487"/>
    </row>
    <row r="7" spans="2:4" s="485" customFormat="1" x14ac:dyDescent="0.25">
      <c r="B7" s="487" t="s">
        <v>380</v>
      </c>
      <c r="C7" s="487"/>
      <c r="D7" s="480"/>
    </row>
    <row r="8" spans="2:4" s="485" customFormat="1" x14ac:dyDescent="0.25">
      <c r="B8" s="487"/>
      <c r="C8" s="487"/>
      <c r="D8" s="480"/>
    </row>
    <row r="9" spans="2:4" s="485" customFormat="1" x14ac:dyDescent="0.25">
      <c r="B9" s="487"/>
      <c r="C9" s="487"/>
    </row>
    <row r="10" spans="2:4" s="485" customFormat="1" x14ac:dyDescent="0.25">
      <c r="B10" s="487"/>
      <c r="C10" s="487"/>
    </row>
    <row r="11" spans="2:4" s="485" customFormat="1" x14ac:dyDescent="0.25">
      <c r="B11" s="487"/>
      <c r="C11" s="487"/>
    </row>
    <row r="12" spans="2:4" s="485" customFormat="1" x14ac:dyDescent="0.25">
      <c r="B12" s="487"/>
      <c r="C12" s="487"/>
    </row>
    <row r="13" spans="2:4" s="485" customFormat="1" x14ac:dyDescent="0.25">
      <c r="B13" s="487"/>
      <c r="C13" s="487"/>
    </row>
    <row r="14" spans="2:4" s="485" customFormat="1" x14ac:dyDescent="0.25">
      <c r="B14" s="487"/>
      <c r="C14" s="487"/>
    </row>
    <row r="15" spans="2:4" s="485" customFormat="1" x14ac:dyDescent="0.25">
      <c r="B15" s="487"/>
      <c r="C15" s="487"/>
    </row>
    <row r="16" spans="2:4" s="485" customFormat="1" x14ac:dyDescent="0.25"/>
    <row r="17" spans="2:6" s="485" customFormat="1" x14ac:dyDescent="0.25"/>
    <row r="18" spans="2:6" s="485" customFormat="1" x14ac:dyDescent="0.25">
      <c r="B18" s="493" t="s">
        <v>543</v>
      </c>
    </row>
    <row r="19" spans="2:6" s="485" customFormat="1" x14ac:dyDescent="0.25">
      <c r="B19" s="487" t="s">
        <v>544</v>
      </c>
      <c r="C19" s="487" t="s">
        <v>1283</v>
      </c>
    </row>
    <row r="20" spans="2:6" s="485" customFormat="1" x14ac:dyDescent="0.25">
      <c r="B20" s="487" t="s">
        <v>545</v>
      </c>
      <c r="C20" s="487" t="s">
        <v>1282</v>
      </c>
    </row>
    <row r="21" spans="2:6" s="485" customFormat="1" x14ac:dyDescent="0.25">
      <c r="B21" s="487" t="s">
        <v>1052</v>
      </c>
      <c r="C21" s="487"/>
    </row>
    <row r="22" spans="2:6" s="485" customFormat="1" x14ac:dyDescent="0.25">
      <c r="B22" s="487" t="s">
        <v>1053</v>
      </c>
      <c r="C22" s="487"/>
    </row>
    <row r="23" spans="2:6" s="485" customFormat="1" x14ac:dyDescent="0.25">
      <c r="B23" s="487" t="s">
        <v>380</v>
      </c>
      <c r="C23" s="487"/>
    </row>
    <row r="24" spans="2:6" s="485" customFormat="1" x14ac:dyDescent="0.25"/>
    <row r="25" spans="2:6" s="485" customFormat="1" x14ac:dyDescent="0.25"/>
    <row r="26" spans="2:6" s="485" customFormat="1" x14ac:dyDescent="0.25">
      <c r="B26" s="493" t="s">
        <v>600</v>
      </c>
    </row>
    <row r="27" spans="2:6" s="485" customFormat="1" x14ac:dyDescent="0.25">
      <c r="B27" s="487" t="s">
        <v>601</v>
      </c>
    </row>
    <row r="28" spans="2:6" s="485" customFormat="1" x14ac:dyDescent="0.25">
      <c r="B28" s="487" t="s">
        <v>602</v>
      </c>
    </row>
    <row r="29" spans="2:6" s="485" customFormat="1" x14ac:dyDescent="0.25">
      <c r="B29" s="480"/>
    </row>
    <row r="30" spans="2:6" s="485" customFormat="1" x14ac:dyDescent="0.25"/>
    <row r="31" spans="2:6" s="485" customFormat="1" x14ac:dyDescent="0.25">
      <c r="B31" s="493" t="s">
        <v>623</v>
      </c>
      <c r="F31" s="490"/>
    </row>
    <row r="32" spans="2:6" s="485" customFormat="1" x14ac:dyDescent="0.25">
      <c r="B32" s="487" t="s">
        <v>625</v>
      </c>
      <c r="F32" s="490"/>
    </row>
    <row r="33" spans="2:6" s="485" customFormat="1" x14ac:dyDescent="0.25">
      <c r="B33" s="487" t="s">
        <v>1273</v>
      </c>
      <c r="F33" s="490"/>
    </row>
    <row r="34" spans="2:6" s="485" customFormat="1" x14ac:dyDescent="0.25">
      <c r="B34" s="487" t="s">
        <v>1274</v>
      </c>
    </row>
    <row r="35" spans="2:6" s="485" customFormat="1" x14ac:dyDescent="0.25">
      <c r="B35" s="487" t="s">
        <v>1275</v>
      </c>
    </row>
    <row r="36" spans="2:6" s="485" customFormat="1" x14ac:dyDescent="0.25">
      <c r="B36" s="487" t="s">
        <v>380</v>
      </c>
    </row>
    <row r="37" spans="2:6" s="485" customFormat="1" x14ac:dyDescent="0.25">
      <c r="B37" s="487"/>
    </row>
    <row r="38" spans="2:6" s="485" customFormat="1" x14ac:dyDescent="0.25"/>
    <row r="39" spans="2:6" s="485" customFormat="1" x14ac:dyDescent="0.25">
      <c r="D39" s="480"/>
    </row>
    <row r="40" spans="2:6" s="485" customFormat="1" x14ac:dyDescent="0.25">
      <c r="B40" s="493" t="s">
        <v>491</v>
      </c>
    </row>
    <row r="41" spans="2:6" s="485" customFormat="1" x14ac:dyDescent="0.25">
      <c r="B41" s="487" t="s">
        <v>599</v>
      </c>
    </row>
    <row r="42" spans="2:6" s="485" customFormat="1" x14ac:dyDescent="0.25">
      <c r="B42" s="487" t="s">
        <v>603</v>
      </c>
    </row>
    <row r="43" spans="2:6" s="485" customFormat="1" x14ac:dyDescent="0.25">
      <c r="B43" s="487" t="s">
        <v>604</v>
      </c>
    </row>
    <row r="44" spans="2:6" s="485" customFormat="1" x14ac:dyDescent="0.25">
      <c r="B44" s="487" t="s">
        <v>605</v>
      </c>
    </row>
    <row r="45" spans="2:6" s="485" customFormat="1" x14ac:dyDescent="0.25">
      <c r="B45" s="487" t="s">
        <v>380</v>
      </c>
    </row>
    <row r="46" spans="2:6" s="485" customFormat="1" x14ac:dyDescent="0.25">
      <c r="B46" s="487"/>
    </row>
    <row r="47" spans="2:6" s="485" customFormat="1" x14ac:dyDescent="0.25">
      <c r="B47" s="487"/>
    </row>
    <row r="48" spans="2:6" s="485" customFormat="1" x14ac:dyDescent="0.25"/>
    <row r="49" spans="2:2" s="485" customFormat="1" x14ac:dyDescent="0.25"/>
    <row r="50" spans="2:2" s="485" customFormat="1" x14ac:dyDescent="0.25">
      <c r="B50" s="494" t="s">
        <v>1203</v>
      </c>
    </row>
    <row r="51" spans="2:2" s="485" customFormat="1" x14ac:dyDescent="0.25">
      <c r="B51" s="488" t="s">
        <v>696</v>
      </c>
    </row>
    <row r="52" spans="2:2" s="485" customFormat="1" x14ac:dyDescent="0.25">
      <c r="B52" s="488" t="s">
        <v>492</v>
      </c>
    </row>
    <row r="53" spans="2:2" s="485" customFormat="1" x14ac:dyDescent="0.25">
      <c r="B53" s="488" t="s">
        <v>697</v>
      </c>
    </row>
    <row r="54" spans="2:2" s="485" customFormat="1" x14ac:dyDescent="0.25">
      <c r="B54" s="488" t="s">
        <v>493</v>
      </c>
    </row>
    <row r="55" spans="2:2" s="485" customFormat="1" x14ac:dyDescent="0.25">
      <c r="B55" s="488" t="s">
        <v>1006</v>
      </c>
    </row>
    <row r="56" spans="2:2" s="485" customFormat="1" x14ac:dyDescent="0.25">
      <c r="B56" s="488" t="s">
        <v>1007</v>
      </c>
    </row>
    <row r="57" spans="2:2" s="485" customFormat="1" x14ac:dyDescent="0.25">
      <c r="B57" s="488" t="s">
        <v>380</v>
      </c>
    </row>
    <row r="58" spans="2:2" s="485" customFormat="1" x14ac:dyDescent="0.25">
      <c r="B58" s="518"/>
    </row>
    <row r="59" spans="2:2" s="485" customFormat="1" x14ac:dyDescent="0.25">
      <c r="B59" s="518"/>
    </row>
    <row r="60" spans="2:2" s="485" customFormat="1" x14ac:dyDescent="0.25">
      <c r="B60" s="518"/>
    </row>
    <row r="61" spans="2:2" s="485" customFormat="1" x14ac:dyDescent="0.25"/>
    <row r="62" spans="2:2" s="485" customFormat="1" x14ac:dyDescent="0.25"/>
    <row r="63" spans="2:2" s="485" customFormat="1" x14ac:dyDescent="0.25">
      <c r="B63" s="493" t="s">
        <v>519</v>
      </c>
    </row>
    <row r="64" spans="2:2" s="485" customFormat="1" x14ac:dyDescent="0.25">
      <c r="B64" s="487" t="s">
        <v>528</v>
      </c>
    </row>
    <row r="65" spans="2:2" s="485" customFormat="1" x14ac:dyDescent="0.25">
      <c r="B65" s="487" t="s">
        <v>520</v>
      </c>
    </row>
    <row r="66" spans="2:2" s="485" customFormat="1" x14ac:dyDescent="0.25">
      <c r="B66" s="487" t="s">
        <v>521</v>
      </c>
    </row>
    <row r="67" spans="2:2" s="485" customFormat="1" x14ac:dyDescent="0.25">
      <c r="B67" s="487" t="s">
        <v>606</v>
      </c>
    </row>
    <row r="68" spans="2:2" s="485" customFormat="1" x14ac:dyDescent="0.25">
      <c r="B68" s="487" t="s">
        <v>607</v>
      </c>
    </row>
    <row r="69" spans="2:2" s="485" customFormat="1" x14ac:dyDescent="0.25">
      <c r="B69" s="487" t="s">
        <v>608</v>
      </c>
    </row>
    <row r="70" spans="2:2" s="485" customFormat="1" x14ac:dyDescent="0.25">
      <c r="B70" s="487" t="s">
        <v>609</v>
      </c>
    </row>
    <row r="71" spans="2:2" s="485" customFormat="1" x14ac:dyDescent="0.25">
      <c r="B71" s="495" t="s">
        <v>610</v>
      </c>
    </row>
    <row r="72" spans="2:2" s="485" customFormat="1" x14ac:dyDescent="0.25">
      <c r="B72" s="487" t="s">
        <v>611</v>
      </c>
    </row>
    <row r="73" spans="2:2" s="485" customFormat="1" ht="18" x14ac:dyDescent="0.35">
      <c r="B73" s="487" t="s">
        <v>613</v>
      </c>
    </row>
    <row r="74" spans="2:2" s="485" customFormat="1" ht="18" x14ac:dyDescent="0.35">
      <c r="B74" s="487" t="s">
        <v>614</v>
      </c>
    </row>
    <row r="75" spans="2:2" s="485" customFormat="1" x14ac:dyDescent="0.25">
      <c r="B75" s="487" t="s">
        <v>381</v>
      </c>
    </row>
    <row r="76" spans="2:2" s="485" customFormat="1" x14ac:dyDescent="0.25">
      <c r="B76" s="487" t="s">
        <v>612</v>
      </c>
    </row>
    <row r="77" spans="2:2" s="485" customFormat="1" ht="18" x14ac:dyDescent="0.35">
      <c r="B77" s="487" t="s">
        <v>615</v>
      </c>
    </row>
    <row r="78" spans="2:2" s="485" customFormat="1" ht="18" x14ac:dyDescent="0.35">
      <c r="B78" s="487" t="s">
        <v>616</v>
      </c>
    </row>
    <row r="79" spans="2:2" s="485" customFormat="1" ht="18" x14ac:dyDescent="0.35">
      <c r="B79" s="487" t="s">
        <v>617</v>
      </c>
    </row>
    <row r="80" spans="2:2" s="485" customFormat="1" ht="18" x14ac:dyDescent="0.35">
      <c r="B80" s="487" t="s">
        <v>618</v>
      </c>
    </row>
    <row r="81" spans="2:2" s="485" customFormat="1" x14ac:dyDescent="0.25">
      <c r="B81" s="487" t="s">
        <v>699</v>
      </c>
    </row>
    <row r="82" spans="2:2" s="485" customFormat="1" x14ac:dyDescent="0.25">
      <c r="B82" s="487" t="s">
        <v>695</v>
      </c>
    </row>
    <row r="83" spans="2:2" s="485" customFormat="1" x14ac:dyDescent="0.25">
      <c r="B83" s="487" t="s">
        <v>723</v>
      </c>
    </row>
    <row r="84" spans="2:2" s="485" customFormat="1" x14ac:dyDescent="0.25">
      <c r="B84" s="487" t="s">
        <v>744</v>
      </c>
    </row>
    <row r="85" spans="2:2" s="485" customFormat="1" x14ac:dyDescent="0.25">
      <c r="B85" s="487" t="s">
        <v>745</v>
      </c>
    </row>
    <row r="86" spans="2:2" s="485" customFormat="1" x14ac:dyDescent="0.25">
      <c r="B86" s="487" t="s">
        <v>522</v>
      </c>
    </row>
    <row r="87" spans="2:2" s="485" customFormat="1" x14ac:dyDescent="0.25">
      <c r="B87" s="487" t="s">
        <v>523</v>
      </c>
    </row>
    <row r="88" spans="2:2" s="485" customFormat="1" x14ac:dyDescent="0.25">
      <c r="B88" s="487" t="s">
        <v>524</v>
      </c>
    </row>
    <row r="89" spans="2:2" s="485" customFormat="1" x14ac:dyDescent="0.25">
      <c r="B89" s="487" t="s">
        <v>525</v>
      </c>
    </row>
    <row r="90" spans="2:2" s="485" customFormat="1" x14ac:dyDescent="0.25">
      <c r="B90" s="487" t="s">
        <v>526</v>
      </c>
    </row>
    <row r="91" spans="2:2" s="485" customFormat="1" x14ac:dyDescent="0.25">
      <c r="B91" s="487" t="s">
        <v>527</v>
      </c>
    </row>
    <row r="92" spans="2:2" s="485" customFormat="1" x14ac:dyDescent="0.25">
      <c r="B92" s="487" t="s">
        <v>380</v>
      </c>
    </row>
    <row r="93" spans="2:2" s="485" customFormat="1" x14ac:dyDescent="0.25">
      <c r="B93" s="518"/>
    </row>
    <row r="94" spans="2:2" s="485" customFormat="1" x14ac:dyDescent="0.25">
      <c r="B94" s="518"/>
    </row>
    <row r="95" spans="2:2" s="485" customFormat="1" x14ac:dyDescent="0.25">
      <c r="B95" s="518"/>
    </row>
    <row r="96" spans="2:2" s="485" customFormat="1" x14ac:dyDescent="0.25">
      <c r="B96" s="518"/>
    </row>
    <row r="97" spans="2:2" s="485" customFormat="1" x14ac:dyDescent="0.25">
      <c r="B97" s="518"/>
    </row>
    <row r="98" spans="2:2" s="485" customFormat="1" x14ac:dyDescent="0.25">
      <c r="B98" s="518"/>
    </row>
    <row r="99" spans="2:2" s="485" customFormat="1" x14ac:dyDescent="0.25">
      <c r="B99" s="518"/>
    </row>
    <row r="100" spans="2:2" s="485" customFormat="1" x14ac:dyDescent="0.25">
      <c r="B100" s="518"/>
    </row>
    <row r="101" spans="2:2" s="485" customFormat="1" x14ac:dyDescent="0.25">
      <c r="B101" s="518"/>
    </row>
    <row r="102" spans="2:2" s="485" customFormat="1" x14ac:dyDescent="0.25">
      <c r="B102" s="518"/>
    </row>
    <row r="103" spans="2:2" s="485" customFormat="1" x14ac:dyDescent="0.25">
      <c r="B103" s="518"/>
    </row>
    <row r="104" spans="2:2" s="485" customFormat="1" x14ac:dyDescent="0.25">
      <c r="B104" s="518"/>
    </row>
    <row r="105" spans="2:2" s="485" customFormat="1" x14ac:dyDescent="0.25"/>
    <row r="106" spans="2:2" s="485" customFormat="1" x14ac:dyDescent="0.25"/>
    <row r="107" spans="2:2" s="485" customFormat="1" x14ac:dyDescent="0.25">
      <c r="B107" s="493" t="s">
        <v>507</v>
      </c>
    </row>
    <row r="108" spans="2:2" s="485" customFormat="1" x14ac:dyDescent="0.25">
      <c r="B108" s="487" t="s">
        <v>508</v>
      </c>
    </row>
    <row r="109" spans="2:2" s="485" customFormat="1" x14ac:dyDescent="0.25">
      <c r="B109" s="487" t="s">
        <v>509</v>
      </c>
    </row>
    <row r="110" spans="2:2" s="485" customFormat="1" x14ac:dyDescent="0.25">
      <c r="B110" s="496" t="s">
        <v>1281</v>
      </c>
    </row>
    <row r="111" spans="2:2" s="485" customFormat="1" x14ac:dyDescent="0.25">
      <c r="B111" s="486"/>
    </row>
    <row r="112" spans="2:2" s="485" customFormat="1" x14ac:dyDescent="0.25"/>
    <row r="113" spans="2:3" s="485" customFormat="1" x14ac:dyDescent="0.25">
      <c r="B113" s="493" t="s">
        <v>504</v>
      </c>
    </row>
    <row r="114" spans="2:3" s="485" customFormat="1" x14ac:dyDescent="0.25">
      <c r="B114" s="487" t="s">
        <v>1279</v>
      </c>
    </row>
    <row r="115" spans="2:3" s="485" customFormat="1" x14ac:dyDescent="0.25">
      <c r="B115" s="487" t="s">
        <v>1280</v>
      </c>
    </row>
    <row r="116" spans="2:3" s="485" customFormat="1" x14ac:dyDescent="0.25">
      <c r="B116" s="719" t="s">
        <v>1281</v>
      </c>
    </row>
    <row r="117" spans="2:3" s="485" customFormat="1" x14ac:dyDescent="0.25"/>
    <row r="118" spans="2:3" s="485" customFormat="1" x14ac:dyDescent="0.25"/>
    <row r="119" spans="2:3" s="485" customFormat="1" x14ac:dyDescent="0.25">
      <c r="B119" s="494" t="s">
        <v>551</v>
      </c>
    </row>
    <row r="120" spans="2:3" s="485" customFormat="1" x14ac:dyDescent="0.25">
      <c r="B120" s="487" t="s">
        <v>469</v>
      </c>
      <c r="C120" s="488" t="s">
        <v>552</v>
      </c>
    </row>
    <row r="121" spans="2:3" s="485" customFormat="1" x14ac:dyDescent="0.25">
      <c r="B121" s="487" t="s">
        <v>470</v>
      </c>
      <c r="C121" s="488" t="s">
        <v>553</v>
      </c>
    </row>
    <row r="122" spans="2:3" s="485" customFormat="1" x14ac:dyDescent="0.25"/>
    <row r="123" spans="2:3" s="485" customFormat="1" x14ac:dyDescent="0.25"/>
    <row r="124" spans="2:3" s="485" customFormat="1" x14ac:dyDescent="0.25">
      <c r="B124" s="494" t="s">
        <v>578</v>
      </c>
    </row>
    <row r="125" spans="2:3" s="485" customFormat="1" x14ac:dyDescent="0.25">
      <c r="B125" s="487" t="s">
        <v>295</v>
      </c>
      <c r="C125" s="488" t="s">
        <v>293</v>
      </c>
    </row>
    <row r="126" spans="2:3" s="485" customFormat="1" x14ac:dyDescent="0.25">
      <c r="B126" s="487" t="s">
        <v>296</v>
      </c>
      <c r="C126" s="488" t="s">
        <v>294</v>
      </c>
    </row>
    <row r="127" spans="2:3" s="485" customFormat="1" x14ac:dyDescent="0.25"/>
    <row r="128" spans="2:3" s="485" customFormat="1" x14ac:dyDescent="0.25"/>
    <row r="129" spans="2:10" s="485" customFormat="1" x14ac:dyDescent="0.25">
      <c r="B129" s="493" t="s">
        <v>621</v>
      </c>
    </row>
    <row r="130" spans="2:10" s="485" customFormat="1" x14ac:dyDescent="0.25">
      <c r="B130" s="487" t="s">
        <v>622</v>
      </c>
    </row>
    <row r="131" spans="2:10" s="485" customFormat="1" x14ac:dyDescent="0.25">
      <c r="B131" s="487" t="s">
        <v>380</v>
      </c>
    </row>
    <row r="132" spans="2:10" s="485" customFormat="1" x14ac:dyDescent="0.25">
      <c r="B132" s="487"/>
    </row>
    <row r="133" spans="2:10" s="485" customFormat="1" x14ac:dyDescent="0.25">
      <c r="B133" s="487"/>
    </row>
    <row r="134" spans="2:10" s="485" customFormat="1" x14ac:dyDescent="0.25"/>
    <row r="135" spans="2:10" s="485" customFormat="1" x14ac:dyDescent="0.25"/>
    <row r="136" spans="2:10" s="485" customFormat="1" x14ac:dyDescent="0.25">
      <c r="B136" s="493" t="s">
        <v>589</v>
      </c>
    </row>
    <row r="137" spans="2:10" s="485" customFormat="1" x14ac:dyDescent="0.25">
      <c r="B137" s="487" t="s">
        <v>591</v>
      </c>
    </row>
    <row r="138" spans="2:10" s="485" customFormat="1" x14ac:dyDescent="0.25">
      <c r="B138" s="487" t="s">
        <v>592</v>
      </c>
    </row>
    <row r="139" spans="2:10" s="485" customFormat="1" x14ac:dyDescent="0.25">
      <c r="B139" s="487" t="s">
        <v>590</v>
      </c>
    </row>
    <row r="140" spans="2:10" s="485" customFormat="1" x14ac:dyDescent="0.25">
      <c r="B140" s="487" t="s">
        <v>380</v>
      </c>
      <c r="E140" s="535"/>
    </row>
    <row r="141" spans="2:10" s="485" customFormat="1" x14ac:dyDescent="0.25"/>
    <row r="143" spans="2:10" x14ac:dyDescent="0.25">
      <c r="B143" s="493" t="s">
        <v>518</v>
      </c>
      <c r="C143" s="480"/>
      <c r="D143" s="480"/>
      <c r="E143" s="480"/>
      <c r="G143" s="480"/>
      <c r="H143" s="480"/>
    </row>
    <row r="144" spans="2:10" x14ac:dyDescent="0.25">
      <c r="B144" s="492" t="s">
        <v>510</v>
      </c>
      <c r="C144" s="492" t="s">
        <v>511</v>
      </c>
      <c r="D144" s="492" t="s">
        <v>497</v>
      </c>
      <c r="E144" s="492" t="s">
        <v>512</v>
      </c>
      <c r="F144" s="474" t="s">
        <v>1120</v>
      </c>
      <c r="G144" s="474" t="s">
        <v>1099</v>
      </c>
      <c r="H144" s="474" t="s">
        <v>1100</v>
      </c>
      <c r="I144" s="474" t="s">
        <v>1101</v>
      </c>
      <c r="J144" s="474" t="s">
        <v>1102</v>
      </c>
    </row>
    <row r="145" spans="2:10" x14ac:dyDescent="0.25">
      <c r="B145" s="497" t="s">
        <v>686</v>
      </c>
      <c r="C145" s="500" t="s">
        <v>513</v>
      </c>
      <c r="D145" s="500" t="s">
        <v>514</v>
      </c>
      <c r="E145" s="500" t="s">
        <v>671</v>
      </c>
      <c r="F145" s="527">
        <v>2</v>
      </c>
      <c r="G145" s="506"/>
      <c r="H145" s="506"/>
      <c r="I145" s="534"/>
      <c r="J145" s="506"/>
    </row>
    <row r="146" spans="2:10" x14ac:dyDescent="0.25">
      <c r="B146" s="497" t="s">
        <v>685</v>
      </c>
      <c r="C146" s="500" t="s">
        <v>669</v>
      </c>
      <c r="D146" s="500" t="s">
        <v>670</v>
      </c>
      <c r="E146" s="500">
        <v>1352010366</v>
      </c>
      <c r="F146" s="527">
        <v>3</v>
      </c>
      <c r="G146" s="714" t="s">
        <v>1247</v>
      </c>
      <c r="H146" s="715">
        <v>43726</v>
      </c>
      <c r="I146" s="715">
        <v>43724</v>
      </c>
      <c r="J146" s="714" t="s">
        <v>1248</v>
      </c>
    </row>
    <row r="147" spans="2:10" x14ac:dyDescent="0.25">
      <c r="B147" s="497" t="s">
        <v>684</v>
      </c>
      <c r="C147" s="500" t="s">
        <v>669</v>
      </c>
      <c r="D147" s="500" t="s">
        <v>670</v>
      </c>
      <c r="E147" s="500">
        <v>1351020247</v>
      </c>
      <c r="F147" s="527">
        <v>3</v>
      </c>
      <c r="G147" s="506"/>
      <c r="H147" s="506"/>
      <c r="I147" s="534"/>
      <c r="J147" s="506"/>
    </row>
    <row r="148" spans="2:10" x14ac:dyDescent="0.25">
      <c r="B148" s="497" t="s">
        <v>687</v>
      </c>
      <c r="C148" s="500" t="s">
        <v>672</v>
      </c>
      <c r="D148" s="500" t="s">
        <v>673</v>
      </c>
      <c r="E148" s="500" t="s">
        <v>674</v>
      </c>
      <c r="F148" s="527">
        <v>3</v>
      </c>
      <c r="G148" s="506"/>
      <c r="H148" s="506"/>
      <c r="I148" s="534"/>
      <c r="J148" s="506"/>
    </row>
    <row r="149" spans="2:10" x14ac:dyDescent="0.25">
      <c r="B149" s="497" t="s">
        <v>1096</v>
      </c>
      <c r="C149" s="500" t="s">
        <v>672</v>
      </c>
      <c r="D149" s="500" t="s">
        <v>1097</v>
      </c>
      <c r="E149" s="500" t="s">
        <v>1098</v>
      </c>
      <c r="F149" s="527">
        <v>4</v>
      </c>
      <c r="G149" s="506"/>
      <c r="H149" s="506"/>
      <c r="I149" s="534"/>
      <c r="J149" s="506"/>
    </row>
    <row r="150" spans="2:10" x14ac:dyDescent="0.25">
      <c r="B150" s="497" t="s">
        <v>1094</v>
      </c>
      <c r="C150" s="500" t="s">
        <v>513</v>
      </c>
      <c r="D150" s="500" t="s">
        <v>514</v>
      </c>
      <c r="E150" s="500" t="s">
        <v>1095</v>
      </c>
      <c r="F150" s="527">
        <v>2</v>
      </c>
      <c r="G150" s="506"/>
      <c r="H150" s="506"/>
      <c r="I150" s="534"/>
      <c r="J150" s="506"/>
    </row>
    <row r="151" spans="2:10" x14ac:dyDescent="0.25">
      <c r="B151" s="497"/>
      <c r="C151" s="500"/>
      <c r="D151" s="500"/>
      <c r="E151" s="500"/>
      <c r="F151" s="527"/>
      <c r="G151" s="506"/>
      <c r="H151" s="506"/>
      <c r="I151" s="534"/>
      <c r="J151" s="506"/>
    </row>
    <row r="152" spans="2:10" x14ac:dyDescent="0.25">
      <c r="B152" s="497" t="s">
        <v>1106</v>
      </c>
      <c r="C152" s="500" t="s">
        <v>513</v>
      </c>
      <c r="D152" s="500" t="s">
        <v>514</v>
      </c>
      <c r="E152" s="500" t="s">
        <v>1107</v>
      </c>
      <c r="F152" s="527">
        <v>2</v>
      </c>
      <c r="G152" s="506"/>
      <c r="H152" s="506"/>
      <c r="I152" s="534"/>
      <c r="J152" s="506"/>
    </row>
    <row r="153" spans="2:10" x14ac:dyDescent="0.25">
      <c r="B153" s="487"/>
      <c r="C153" s="505"/>
      <c r="D153" s="500"/>
      <c r="E153" s="500"/>
      <c r="F153" s="527"/>
      <c r="G153" s="506"/>
      <c r="H153" s="506"/>
      <c r="I153" s="534"/>
      <c r="J153" s="506"/>
    </row>
    <row r="154" spans="2:10" x14ac:dyDescent="0.25">
      <c r="B154" s="487"/>
      <c r="C154" s="505"/>
      <c r="D154" s="500"/>
      <c r="E154" s="500"/>
      <c r="F154" s="527"/>
      <c r="G154" s="506"/>
      <c r="H154" s="506"/>
      <c r="I154" s="534"/>
      <c r="J154" s="506"/>
    </row>
    <row r="155" spans="2:10" x14ac:dyDescent="0.25">
      <c r="B155" s="487"/>
      <c r="C155" s="505"/>
      <c r="D155" s="500"/>
      <c r="E155" s="500"/>
      <c r="F155" s="527"/>
      <c r="G155" s="506"/>
      <c r="H155" s="506"/>
      <c r="I155" s="534"/>
      <c r="J155" s="506"/>
    </row>
    <row r="156" spans="2:10" x14ac:dyDescent="0.25">
      <c r="B156" s="497"/>
      <c r="C156" s="499"/>
      <c r="D156" s="498"/>
      <c r="E156" s="498"/>
      <c r="F156" s="527"/>
      <c r="G156" s="506"/>
      <c r="H156" s="506"/>
      <c r="I156" s="534"/>
      <c r="J156" s="506"/>
    </row>
    <row r="157" spans="2:10" x14ac:dyDescent="0.25">
      <c r="B157" s="497"/>
      <c r="C157" s="499"/>
      <c r="D157" s="498"/>
      <c r="E157" s="498"/>
      <c r="F157" s="527"/>
      <c r="G157" s="506"/>
      <c r="H157" s="506"/>
      <c r="I157" s="534"/>
      <c r="J157" s="506"/>
    </row>
    <row r="158" spans="2:10" x14ac:dyDescent="0.25">
      <c r="B158" s="497"/>
      <c r="C158" s="498"/>
      <c r="D158" s="498"/>
      <c r="E158" s="498"/>
      <c r="F158" s="527"/>
      <c r="G158" s="506"/>
      <c r="H158" s="506"/>
      <c r="I158" s="534"/>
      <c r="J158" s="506"/>
    </row>
    <row r="159" spans="2:10" x14ac:dyDescent="0.25">
      <c r="I159" s="536"/>
    </row>
    <row r="162" spans="2:4" x14ac:dyDescent="0.25">
      <c r="B162" s="493" t="s">
        <v>1058</v>
      </c>
      <c r="C162" s="485"/>
    </row>
    <row r="163" spans="2:4" x14ac:dyDescent="0.25">
      <c r="B163" s="489" t="s">
        <v>134</v>
      </c>
      <c r="C163" s="489"/>
      <c r="D163" s="476" t="s">
        <v>741</v>
      </c>
    </row>
    <row r="164" spans="2:4" x14ac:dyDescent="0.25">
      <c r="B164" s="489" t="s">
        <v>140</v>
      </c>
      <c r="C164" s="489" t="s">
        <v>141</v>
      </c>
    </row>
    <row r="165" spans="2:4" x14ac:dyDescent="0.25">
      <c r="B165" s="489">
        <v>0.5</v>
      </c>
      <c r="C165" s="491">
        <v>39</v>
      </c>
    </row>
    <row r="166" spans="2:4" x14ac:dyDescent="0.25">
      <c r="B166" s="489">
        <v>0.75</v>
      </c>
      <c r="C166" s="491">
        <v>26</v>
      </c>
    </row>
    <row r="167" spans="2:4" x14ac:dyDescent="0.25">
      <c r="B167" s="489">
        <v>1</v>
      </c>
      <c r="C167" s="491">
        <v>19.5</v>
      </c>
    </row>
    <row r="168" spans="2:4" x14ac:dyDescent="0.25">
      <c r="B168" s="489">
        <v>1.5</v>
      </c>
      <c r="C168" s="491">
        <v>13.3</v>
      </c>
    </row>
    <row r="169" spans="2:4" x14ac:dyDescent="0.25">
      <c r="B169" s="489">
        <v>2.5</v>
      </c>
      <c r="C169" s="491">
        <v>7.98</v>
      </c>
    </row>
    <row r="170" spans="2:4" x14ac:dyDescent="0.25">
      <c r="B170" s="489">
        <v>4</v>
      </c>
      <c r="C170" s="491">
        <v>4.95</v>
      </c>
    </row>
    <row r="171" spans="2:4" x14ac:dyDescent="0.25">
      <c r="B171" s="489">
        <v>6</v>
      </c>
      <c r="C171" s="491">
        <v>3.3</v>
      </c>
    </row>
    <row r="172" spans="2:4" x14ac:dyDescent="0.25">
      <c r="B172" s="489">
        <v>10</v>
      </c>
      <c r="C172" s="491">
        <v>1.91</v>
      </c>
    </row>
    <row r="173" spans="2:4" x14ac:dyDescent="0.25">
      <c r="B173" s="489">
        <v>16</v>
      </c>
      <c r="C173" s="491">
        <v>1.21</v>
      </c>
    </row>
    <row r="176" spans="2:4" x14ac:dyDescent="0.25">
      <c r="B176" s="493" t="s">
        <v>1112</v>
      </c>
    </row>
    <row r="177" spans="2:3" x14ac:dyDescent="0.25">
      <c r="B177" s="487" t="s">
        <v>125</v>
      </c>
    </row>
    <row r="178" spans="2:3" x14ac:dyDescent="0.25">
      <c r="B178" s="487" t="s">
        <v>468</v>
      </c>
    </row>
    <row r="179" spans="2:3" x14ac:dyDescent="0.25">
      <c r="B179" s="487" t="s">
        <v>1113</v>
      </c>
    </row>
    <row r="181" spans="2:3" x14ac:dyDescent="0.25">
      <c r="B181" s="493" t="s">
        <v>1173</v>
      </c>
    </row>
    <row r="182" spans="2:3" x14ac:dyDescent="0.25">
      <c r="B182" s="487" t="s">
        <v>1174</v>
      </c>
    </row>
    <row r="183" spans="2:3" x14ac:dyDescent="0.25">
      <c r="B183" s="487" t="s">
        <v>611</v>
      </c>
    </row>
    <row r="184" spans="2:3" x14ac:dyDescent="0.25">
      <c r="B184" s="487" t="s">
        <v>723</v>
      </c>
    </row>
    <row r="187" spans="2:3" x14ac:dyDescent="0.25">
      <c r="B187" s="493" t="s">
        <v>1190</v>
      </c>
    </row>
    <row r="188" spans="2:3" x14ac:dyDescent="0.25">
      <c r="B188" s="487" t="s">
        <v>1191</v>
      </c>
      <c r="C188" s="612">
        <v>0.03</v>
      </c>
    </row>
    <row r="189" spans="2:3" x14ac:dyDescent="0.25">
      <c r="B189" s="487" t="s">
        <v>1192</v>
      </c>
      <c r="C189" s="612">
        <v>0.06</v>
      </c>
    </row>
    <row r="190" spans="2:3" x14ac:dyDescent="0.25">
      <c r="B190" s="487" t="s">
        <v>1193</v>
      </c>
      <c r="C190" s="612">
        <v>0.1</v>
      </c>
    </row>
    <row r="193" spans="2:2" x14ac:dyDescent="0.25">
      <c r="B193" s="493" t="s">
        <v>1212</v>
      </c>
    </row>
    <row r="194" spans="2:2" x14ac:dyDescent="0.25">
      <c r="B194" s="487" t="s">
        <v>13</v>
      </c>
    </row>
    <row r="195" spans="2:2" x14ac:dyDescent="0.25">
      <c r="B195" s="487" t="s">
        <v>185</v>
      </c>
    </row>
    <row r="196" spans="2:2" x14ac:dyDescent="0.25">
      <c r="B196" s="487"/>
    </row>
  </sheetData>
  <sheetProtection algorithmName="SHA-512" hashValue="De9UOTZpTCz4Q+roPa0J5kTjyIlBMQXq2W98uv+AiOqzDsWtZeqlC8BP+2q5iN2fupL0tv5wmMUpa29CwGDK3A==" saltValue="lZgB03q5LnXS/3BqQPhHfA==" spinCount="100000" sheet="1" objects="1" scenarios="1"/>
  <protectedRanges>
    <protectedRange algorithmName="SHA-512" hashValue="aGNyv0f4L807AtMpviBj9gEJF3z6Jp6lrfHyjtw9XI5vXe5TNhBmM5jtBPyG9bjYfK8E3wpAHRMnANUCIHIxXA==" saltValue="DcGQMTwcKEEnOKR8h6FvXw==" spinCount="100000" sqref="G145:J158" name="OPE"/>
    <protectedRange algorithmName="SHA-512" hashValue="RlEq6pv3qi/S3sEQLAKboRr1xkJzjtmFKKlpaXKvMYHRhDlYjPZlMtxg6X5UbCqFa8jXkBsL2q12u8YuPW9U2w==" saltValue="ErX46o/mNrAH/sTs77Y4Hw==" spinCount="100000" sqref="B93:B104 B58:B60" name="OPEE 2"/>
    <protectedRange algorithmName="SHA-512" hashValue="eGsVzNSFyFZQ6apSZXE5zpMWlwFqIIuvzEiuc8NMApe0mo7UOfrfKTkt3yW5kGsxMjlUrpw2zJm/MBcaVTU2nw==" saltValue="Oi1LlZBVlcxDcLh0P5tURQ==" spinCount="100000" sqref="B93:B104 B58:B60" name="OPEE 3"/>
    <protectedRange algorithmName="SHA-512" hashValue="ep4z1PyS/anPc3RL2AKIzqGbdZ0vI9DFg997P5T9WwOrDrb7aVwMXRmh/OVNQBUXd16vX39XIP0+XpHS1QwSGw==" saltValue="/wEOyLzzSxUllMnVSYRi2A==" spinCount="100000" sqref="B93:B104 B58:B60" name="OPEE 4"/>
    <protectedRange algorithmName="SHA-512" hashValue="Y45wuNMiwTLHaaPr7pwE7Z7jDIE1+UbjK5oOhWulBQ+tVGRvQcsGftH09deYkx69mV2we0OBGtVwJtMDrKBOCg==" saltValue="qXnAN2rlskVrOmy1HBfYIw==" spinCount="100000" sqref="B93:B104 B58:B60" name="OPEE 5"/>
  </protectedRange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custom" showInputMessage="1" showErrorMessage="1" errorTitle="ERRORE" error="Documento già firmato da OPE. Per modificare togliere firma OPE" xr:uid="{00000000-0002-0000-0300-000000000000}">
          <x14:formula1>
            <xm:f>IF('FIRME-CONTROLLO DATI'!$J$23="",TRUE,FALSE)</xm:f>
          </x14:formula1>
          <xm:sqref>G145:J158</xm:sqref>
        </x14:dataValidation>
        <x14:dataValidation type="custom" showInputMessage="1" showErrorMessage="1" xr:uid="{00000000-0002-0000-0300-000001000000}">
          <x14:formula1>
            <xm:f>IF(AND(COUNTA('FIRME-CONTROLLO DATI'!$J$9:$J$17)=0,'FIRME-CONTROLLO DATI'!$J$19="",'FIRME-CONTROLLO DATI'!$J$23="",'FIRME-CONTROLLO DATI'!$J$26=""),TRUE,FALSE)</xm:f>
          </x14:formula1>
          <xm:sqref>B93:B104 B58:B60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A42"/>
  <sheetViews>
    <sheetView zoomScale="80" zoomScaleNormal="80" workbookViewId="0">
      <selection activeCell="O46" sqref="O46"/>
    </sheetView>
  </sheetViews>
  <sheetFormatPr defaultRowHeight="15" x14ac:dyDescent="0.25"/>
  <cols>
    <col min="1" max="1" width="23.85546875" style="1" bestFit="1" customWidth="1"/>
    <col min="2" max="2" width="17.5703125" style="1" bestFit="1" customWidth="1"/>
    <col min="3" max="5" width="9.140625" style="1"/>
    <col min="6" max="6" width="10.42578125" style="1" customWidth="1"/>
    <col min="7" max="12" width="9.140625" style="1"/>
    <col min="13" max="13" width="10.28515625" style="1" customWidth="1"/>
    <col min="14" max="14" width="9.140625" style="1"/>
    <col min="15" max="15" width="9.7109375" style="1" customWidth="1"/>
    <col min="16" max="16" width="11.5703125" style="1" bestFit="1" customWidth="1"/>
    <col min="17" max="17" width="9.7109375" style="1" bestFit="1" customWidth="1"/>
    <col min="18" max="18" width="9.85546875" style="1" bestFit="1" customWidth="1"/>
    <col min="19" max="19" width="8.85546875" style="1" bestFit="1" customWidth="1"/>
    <col min="20" max="20" width="10.28515625" style="1" bestFit="1" customWidth="1"/>
    <col min="21" max="21" width="10.7109375" style="1" bestFit="1" customWidth="1"/>
    <col min="22" max="22" width="9.140625" style="1"/>
    <col min="23" max="23" width="20.42578125" style="1" bestFit="1" customWidth="1"/>
    <col min="24" max="25" width="9.140625" style="1"/>
    <col min="26" max="26" width="24.42578125" style="1" bestFit="1" customWidth="1"/>
    <col min="27" max="16384" width="9.140625" style="1"/>
  </cols>
  <sheetData>
    <row r="3" spans="1:27" x14ac:dyDescent="0.25">
      <c r="C3" s="15"/>
      <c r="D3" s="15"/>
      <c r="E3" s="15"/>
      <c r="F3" s="15"/>
      <c r="G3" s="15"/>
      <c r="H3" s="7"/>
      <c r="I3" s="309"/>
      <c r="K3" s="5"/>
    </row>
    <row r="4" spans="1:27" ht="18.75" x14ac:dyDescent="0.3">
      <c r="A4" s="35" t="s">
        <v>281</v>
      </c>
      <c r="B4" s="36"/>
      <c r="D4" s="9" t="s">
        <v>232</v>
      </c>
      <c r="E4" s="310" t="s">
        <v>266</v>
      </c>
    </row>
    <row r="6" spans="1:27" x14ac:dyDescent="0.25">
      <c r="B6" s="9" t="s">
        <v>738</v>
      </c>
      <c r="C6" s="37" t="s">
        <v>210</v>
      </c>
      <c r="D6" s="9" t="s">
        <v>299</v>
      </c>
      <c r="E6" s="9" t="s">
        <v>234</v>
      </c>
      <c r="F6" s="308" t="s">
        <v>536</v>
      </c>
      <c r="G6" s="9" t="s">
        <v>174</v>
      </c>
      <c r="H6" s="2" t="s">
        <v>230</v>
      </c>
      <c r="I6" s="2" t="s">
        <v>549</v>
      </c>
      <c r="J6" s="9" t="s">
        <v>200</v>
      </c>
      <c r="K6" s="308" t="s">
        <v>550</v>
      </c>
      <c r="L6" s="9" t="s">
        <v>201</v>
      </c>
      <c r="M6" s="9" t="s">
        <v>202</v>
      </c>
      <c r="N6" s="9" t="s">
        <v>203</v>
      </c>
      <c r="O6" s="9" t="s">
        <v>204</v>
      </c>
      <c r="P6" s="9" t="s">
        <v>205</v>
      </c>
      <c r="Q6" s="9" t="s">
        <v>206</v>
      </c>
      <c r="R6" s="9" t="s">
        <v>207</v>
      </c>
      <c r="S6" s="9" t="s">
        <v>208</v>
      </c>
      <c r="T6" s="9" t="s">
        <v>209</v>
      </c>
      <c r="U6" s="9" t="s">
        <v>368</v>
      </c>
    </row>
    <row r="7" spans="1:27" x14ac:dyDescent="0.25">
      <c r="C7" s="37"/>
      <c r="D7" s="9" t="s">
        <v>61</v>
      </c>
      <c r="E7" s="9" t="s">
        <v>20</v>
      </c>
      <c r="F7" s="307" t="s">
        <v>1</v>
      </c>
      <c r="G7" s="9"/>
      <c r="H7" s="2"/>
      <c r="I7" s="2" t="s">
        <v>468</v>
      </c>
      <c r="J7" s="9"/>
      <c r="K7" s="9"/>
      <c r="L7" s="9" t="s">
        <v>1</v>
      </c>
      <c r="M7" s="9" t="s">
        <v>1</v>
      </c>
      <c r="N7" s="9" t="s">
        <v>1</v>
      </c>
      <c r="O7" s="9" t="s">
        <v>1</v>
      </c>
      <c r="P7" s="9" t="s">
        <v>1</v>
      </c>
      <c r="Q7" s="9" t="s">
        <v>1</v>
      </c>
      <c r="R7" s="9" t="s">
        <v>1</v>
      </c>
      <c r="S7" s="9" t="s">
        <v>1</v>
      </c>
      <c r="T7" s="9"/>
      <c r="U7" s="9"/>
    </row>
    <row r="8" spans="1:27" x14ac:dyDescent="0.25">
      <c r="B8" s="39" t="str">
        <f>IF(OR(E4="R1",E4="R2",E4="R3",E4="R4",E4="R5",E4="R6"),"REALE","FITTIZIO")</f>
        <v>REALE</v>
      </c>
      <c r="C8" s="40" t="str">
        <f>E4</f>
        <v>R1</v>
      </c>
      <c r="D8" s="41">
        <f>IF('VALUT. GLOBALE'!K4="F-N",ROUND('VALUT. GLOBALE'!M4*SQRT(3),'DATI INGRESSO'!H163),ROUND('VALUT. GLOBALE'!M4,'DATI INGRESSO'!H163))</f>
        <v>99.9</v>
      </c>
      <c r="E8" s="41">
        <f>IF('VALUT. GLOBALE'!I8="X",'VALUT. GLOBALE'!I4,IF('VALUT. GLOBALE'!K8="X",'VALUT. GLOBALE'!I3,IF('VALUT. GLOBALE'!M8="X",'VALUT. GLOBALE'!K3,IF('VALUT. GLOBALE'!O8="X",'VALUT. GLOBALE'!M3))))</f>
        <v>2.52</v>
      </c>
      <c r="F8" s="42">
        <f>IF(OR(C8="R1",C8="R2",C8="R3",C8="R4",C8="R5",C8="R6"),E8/'DATI INGRESSO'!$H$196,IF(OR(C8="F1",C8="F2",C8="F3",C8="F4",C8="F5",C8="F6",C8="F7",C8="F8",C8="F9",C8="F10",C8="F11",C8="F12",C8="F13",C8="F14",C8="F15",C8="F16",C8="F17",C8="F18",C8="F19",C8="F20",C8="F21",C8="F22"),E8/'DATI INGRESSO'!$H$197))</f>
        <v>0.504</v>
      </c>
      <c r="G8" s="41">
        <f>'VALUT. GLOBALE'!O2</f>
        <v>0.94</v>
      </c>
      <c r="H8" s="40" t="str">
        <f>'VALUT. GLOBALE'!O3</f>
        <v/>
      </c>
      <c r="I8" s="40">
        <f>'VALUT. GLOBALE'!L6</f>
        <v>2.1110000000000002</v>
      </c>
      <c r="J8" s="41" t="str">
        <f>'VALUT. GLOBALE'!O4</f>
        <v>2.8.0</v>
      </c>
      <c r="K8" s="43" t="str">
        <f>'VALUT. GLOBALE'!P4</f>
        <v>A-</v>
      </c>
      <c r="L8" s="41">
        <f>'VALUT. GLOBALE'!O6*100</f>
        <v>-0.11</v>
      </c>
      <c r="M8" s="43">
        <f>IF(AND('DATI INGRESSO'!O159="X",'DATI INGRESSO'!H149="X",OR(AND(OR($E$4="R1",$E$4="R2",$E$4="R3", $E$4="R4",$E$4="R5",$E$4="R6"),'DATI INGRESSO'!H155="X"),AND(OR($E$4="F1",$E$4="F2",$E$4="F3", $E$4="F4",$E$4="F5",$E$4="F6",$E$4="F7",$E$4="F8",$E$4="F9",$E$4="F10",$E$4="F11",$E$4="F12",$E$4="F13",$E$4="F14",$E$4="F15",$E$4="F16",$E$4="F17",$E$4="F18",$E$4="F19",$E$4="F20",$E$4="F21",$E$4="F22"),'DATI INGRESSO'!H161="X"))),'VALUT. GLOBALE'!E74*100,"-")</f>
        <v>0</v>
      </c>
      <c r="N8" s="43">
        <f ca="1">IF(AND('DATI INGRESSO'!O141="X",'DATI INGRESSO'!H149="X",OR(AND(OR($E$4="R1",$E$4="R2",$E$4="R3", $E$4="R4",$E$4="R5",$E$4="R6"),'DATI INGRESSO'!H155="X"),AND(OR($E$4="F1",$E$4="F2",$E$4="F3", $E$4="F4",$E$4="F5",$E$4="F6",$E$4="F7",$E$4="F8",$E$4="F9",$E$4="F10",$E$4="F11",$E$4="F12",$E$4="F13",$E$4="F14",$E$4="F15",$E$4="F16",$E$4="F17",$E$4="F18",$E$4="F19",$E$4="F20",$E$4="F21",$E$4="F22"),'DATI INGRESSO'!H161="X"))),'VALUT. GLOBALE'!E72*100,"-")</f>
        <v>4.4999999999999998E-2</v>
      </c>
      <c r="O8" s="43">
        <f ca="1">IF(AND('DATI INGRESSO'!O159="X",'DATI INGRESSO'!H149="X",OR(AND(OR($E$4="R1",$E$4="R2",$E$4="R3", $E$4="R4",$E$4="R5",$E$4="R6"),'DATI INGRESSO'!H155="X"),AND(OR($E$4="F1",$E$4="F2",$E$4="F3", $E$4="F4",$E$4="F5",$E$4="F6",$E$4="F7",$E$4="F8",$E$4="F9",$E$4="F10",$E$4="F11",$E$4="F12",$E$4="F13",$E$4="F14",$E$4="F15",$E$4="F16",$E$4="F17",$E$4="F18",$E$4="F19",$E$4="F20",$E$4="F21",$E$4="F22"),'DATI INGRESSO'!H161="X"))),'VALUT. GLOBALE'!E73*100,"-")</f>
        <v>5.2999999999999999E-2</v>
      </c>
      <c r="P8" s="41">
        <f ca="1">IF(OR(AND(OR($E$4="R1",$E$4="R2",$E$4="R3", $E$4="R4",$E$4="R5",$E$4="R6"),'DATI INGRESSO'!H152="X"),AND(OR($E$4="F1",$E$4="F2",$E$4="F3", $E$4="F4",$E$4="F5",$E$4="F6",$E$4="F7",$E$4="F8",$E$4="F9",$E$4="F10",$E$4="F11",$E$4="F12",$E$4="F13",$E$4="F14",$E$4="F15",$E$4="F16",$E$4="F17",$E$4="F18",$E$4="F19",$E$4="F20",$E$4="F21",$E$4="F22"),'DATI INGRESSO'!H158="X")),'VALUT. GLOBALE'!E65*100,IF('DATI INGRESSO'!H149="X",'VALUT. GLOBALE'!E75*100,"-"))</f>
        <v>-1.2E-2</v>
      </c>
      <c r="Q8" s="41">
        <f>'VALUT. GLOBALE'!E36*100</f>
        <v>1.05</v>
      </c>
      <c r="R8" s="43">
        <f>IF(OR('DATI INGRESSO'!O141="X",'DATI INGRESSO'!O159="X"),'VALUT. GLOBALE'!E61*100,"-")</f>
        <v>0.95850000000000002</v>
      </c>
      <c r="S8" s="41">
        <f>'VALUT. GLOBALE'!E63*100</f>
        <v>1.4219999999999999</v>
      </c>
      <c r="T8" s="40" t="str">
        <f>'VALUT. GLOBALE'!E76</f>
        <v>POSITIVO</v>
      </c>
      <c r="U8" s="40" t="str">
        <f ca="1">IF(AND('DATI INGRESSO'!I146="",'DATI INGRESSO'!I149="",'DATI INGRESSO'!I155="",'DATI INGRESSO'!I161="",'DATI INGRESSO'!I174="",'DATI INGRESSO'!P141="",'DATI INGRESSO'!P159="",'DATI INGRESSO'!P181="",'VALUT. GLOBALE'!P8=""),IF(AND(OR(AND(OR($E$4="R1",$E$4="R2",$E$4="R3", $E$4="R4",$E$4="R5",$E$4="R6"),'DATI INGRESSO'!H155="X"),AND(OR($E$4="F1",$E$4="F2",$E$4="F3", $E$4="F4",$E$4="F5",$E$4="F6",$E$4="F7",$E$4="F8",$E$4="F9",$E$4="F10",$E$4="F11",$E$4="F12",$E$4="F13",$E$4="F14",$E$4="F15",$E$4="F16",$E$4="F17",$E$4="F18",$E$4="F19",$E$4="F20",$E$4="F21",$E$4="F22"),'DATI INGRESSO'!H161="X")),'DATI INGRESSO'!H149&lt;&gt;"X"),"CORRETTA",IF(ROUND(SUM(L8:O8),10)=P8,"CORRETTA","ERRATA")),"ERRORE")</f>
        <v>CORRETTA</v>
      </c>
    </row>
    <row r="10" spans="1:27" x14ac:dyDescent="0.25">
      <c r="B10" s="9" t="s">
        <v>738</v>
      </c>
      <c r="C10" s="37" t="s">
        <v>210</v>
      </c>
      <c r="D10" s="9" t="s">
        <v>233</v>
      </c>
      <c r="E10" s="9" t="s">
        <v>234</v>
      </c>
      <c r="F10" s="308" t="s">
        <v>536</v>
      </c>
      <c r="G10" s="9" t="s">
        <v>174</v>
      </c>
      <c r="H10" s="2" t="s">
        <v>230</v>
      </c>
      <c r="I10" s="2" t="s">
        <v>549</v>
      </c>
      <c r="J10" s="9" t="s">
        <v>200</v>
      </c>
      <c r="K10" s="308" t="s">
        <v>550</v>
      </c>
      <c r="L10" s="9" t="s">
        <v>201</v>
      </c>
      <c r="M10" s="9" t="s">
        <v>202</v>
      </c>
      <c r="N10" s="9" t="s">
        <v>203</v>
      </c>
      <c r="O10" s="9" t="s">
        <v>204</v>
      </c>
      <c r="P10" s="9" t="s">
        <v>205</v>
      </c>
      <c r="Q10" s="9" t="s">
        <v>206</v>
      </c>
      <c r="R10" s="9" t="s">
        <v>207</v>
      </c>
      <c r="S10" s="9" t="s">
        <v>208</v>
      </c>
      <c r="T10" s="9" t="s">
        <v>209</v>
      </c>
      <c r="U10" s="9" t="s">
        <v>237</v>
      </c>
      <c r="W10" s="9" t="s">
        <v>681</v>
      </c>
      <c r="Y10" s="9"/>
      <c r="Z10" s="1405" t="s">
        <v>249</v>
      </c>
      <c r="AA10" s="1405"/>
    </row>
    <row r="11" spans="1:27" x14ac:dyDescent="0.25">
      <c r="A11" s="308" t="s">
        <v>266</v>
      </c>
      <c r="B11" s="311" t="s">
        <v>931</v>
      </c>
      <c r="C11" s="312" t="s">
        <v>266</v>
      </c>
      <c r="D11" s="313">
        <v>99.9</v>
      </c>
      <c r="E11" s="313">
        <v>2.52</v>
      </c>
      <c r="F11" s="314">
        <v>0.504</v>
      </c>
      <c r="G11" s="313">
        <v>0.94</v>
      </c>
      <c r="H11" s="315" t="s">
        <v>1654</v>
      </c>
      <c r="I11" s="316">
        <v>2.1110000000000002</v>
      </c>
      <c r="J11" s="313" t="s">
        <v>521</v>
      </c>
      <c r="K11" s="317" t="s">
        <v>470</v>
      </c>
      <c r="L11" s="313">
        <v>-0.11</v>
      </c>
      <c r="M11" s="318">
        <v>0</v>
      </c>
      <c r="N11" s="319">
        <v>4.4999999999999998E-2</v>
      </c>
      <c r="O11" s="313">
        <v>5.2999999999999999E-2</v>
      </c>
      <c r="P11" s="313">
        <v>-1.2E-2</v>
      </c>
      <c r="Q11" s="313">
        <v>1.05</v>
      </c>
      <c r="R11" s="313">
        <v>0.95850000000000002</v>
      </c>
      <c r="S11" s="313">
        <v>1.4219999999999999</v>
      </c>
      <c r="T11" s="313" t="s">
        <v>882</v>
      </c>
      <c r="U11" s="313" t="s">
        <v>1249</v>
      </c>
      <c r="W11" s="308" t="str">
        <f>IF(C11&lt;&gt;"",IF(A11=C11,"","ERRATO"),"")</f>
        <v/>
      </c>
      <c r="Y11" s="9" t="s">
        <v>266</v>
      </c>
      <c r="Z11" s="1497" t="s">
        <v>250</v>
      </c>
      <c r="AA11" s="1497"/>
    </row>
    <row r="12" spans="1:27" x14ac:dyDescent="0.25">
      <c r="A12" s="308" t="s">
        <v>267</v>
      </c>
      <c r="B12" s="311" t="s">
        <v>931</v>
      </c>
      <c r="C12" s="311" t="s">
        <v>267</v>
      </c>
      <c r="D12" s="313">
        <v>99.9</v>
      </c>
      <c r="E12" s="313">
        <v>3.3</v>
      </c>
      <c r="F12" s="314">
        <v>0.65999999999999992</v>
      </c>
      <c r="G12" s="313">
        <v>0.95</v>
      </c>
      <c r="H12" s="313" t="s">
        <v>1654</v>
      </c>
      <c r="I12" s="320">
        <v>2.1120000000000001</v>
      </c>
      <c r="J12" s="313" t="s">
        <v>521</v>
      </c>
      <c r="K12" s="317" t="s">
        <v>469</v>
      </c>
      <c r="L12" s="313">
        <v>-0.04</v>
      </c>
      <c r="M12" s="318">
        <v>0</v>
      </c>
      <c r="N12" s="319">
        <v>4.2999999999999997E-2</v>
      </c>
      <c r="O12" s="313">
        <v>5.6999999999999995E-2</v>
      </c>
      <c r="P12" s="313">
        <v>0.06</v>
      </c>
      <c r="Q12" s="313">
        <v>1.05</v>
      </c>
      <c r="R12" s="313">
        <v>0.93299999999999994</v>
      </c>
      <c r="S12" s="313">
        <v>1.405</v>
      </c>
      <c r="T12" s="313" t="s">
        <v>882</v>
      </c>
      <c r="U12" s="313" t="s">
        <v>1249</v>
      </c>
      <c r="W12" s="308" t="str">
        <f t="shared" ref="W12:W38" si="0">IF(C12&lt;&gt;"",IF(A12=C12,"","ERRATO"),"")</f>
        <v/>
      </c>
      <c r="Y12" s="9" t="s">
        <v>267</v>
      </c>
      <c r="Z12" s="1497" t="s">
        <v>251</v>
      </c>
      <c r="AA12" s="1497"/>
    </row>
    <row r="13" spans="1:27" x14ac:dyDescent="0.25">
      <c r="A13" s="308" t="s">
        <v>268</v>
      </c>
      <c r="B13" s="311" t="s">
        <v>931</v>
      </c>
      <c r="C13" s="321" t="s">
        <v>268</v>
      </c>
      <c r="D13" s="315">
        <v>100.1</v>
      </c>
      <c r="E13" s="313">
        <v>3.29</v>
      </c>
      <c r="F13" s="314">
        <v>0.65800000000000003</v>
      </c>
      <c r="G13" s="322">
        <v>0.96</v>
      </c>
      <c r="H13" s="322" t="s">
        <v>1654</v>
      </c>
      <c r="I13" s="320">
        <v>2.113</v>
      </c>
      <c r="J13" s="313" t="s">
        <v>521</v>
      </c>
      <c r="K13" s="317" t="s">
        <v>470</v>
      </c>
      <c r="L13" s="323">
        <v>0.16999999999999998</v>
      </c>
      <c r="M13" s="318">
        <v>0</v>
      </c>
      <c r="N13" s="319">
        <v>4.2000000000000003E-2</v>
      </c>
      <c r="O13" s="313">
        <v>6.2E-2</v>
      </c>
      <c r="P13" s="313">
        <v>0.27399999999999997</v>
      </c>
      <c r="Q13" s="313">
        <v>1.05</v>
      </c>
      <c r="R13" s="313">
        <v>0.90749999999999997</v>
      </c>
      <c r="S13" s="313">
        <v>1.3879999999999999</v>
      </c>
      <c r="T13" s="313" t="s">
        <v>882</v>
      </c>
      <c r="U13" s="313" t="s">
        <v>1249</v>
      </c>
      <c r="W13" s="308" t="str">
        <f t="shared" si="0"/>
        <v/>
      </c>
      <c r="Y13" s="9" t="s">
        <v>268</v>
      </c>
      <c r="Z13" s="1497" t="s">
        <v>252</v>
      </c>
      <c r="AA13" s="1497"/>
    </row>
    <row r="14" spans="1:27" x14ac:dyDescent="0.25">
      <c r="A14" s="308" t="s">
        <v>269</v>
      </c>
      <c r="B14" s="311" t="s">
        <v>931</v>
      </c>
      <c r="C14" s="311" t="s">
        <v>269</v>
      </c>
      <c r="D14" s="313">
        <v>99.9</v>
      </c>
      <c r="E14" s="313">
        <v>3.3</v>
      </c>
      <c r="F14" s="314">
        <v>0.65999999999999992</v>
      </c>
      <c r="G14" s="313">
        <v>0.97</v>
      </c>
      <c r="H14" s="313" t="s">
        <v>1654</v>
      </c>
      <c r="I14" s="320">
        <v>2.1139999999999999</v>
      </c>
      <c r="J14" s="313" t="s">
        <v>521</v>
      </c>
      <c r="K14" s="317" t="s">
        <v>469</v>
      </c>
      <c r="L14" s="313">
        <v>-6.7000000000000004E-2</v>
      </c>
      <c r="M14" s="318">
        <v>0</v>
      </c>
      <c r="N14" s="319">
        <v>4.1000000000000002E-2</v>
      </c>
      <c r="O14" s="313">
        <v>6.7000000000000004E-2</v>
      </c>
      <c r="P14" s="313">
        <v>4.1000000000000002E-2</v>
      </c>
      <c r="Q14" s="313">
        <v>1.05</v>
      </c>
      <c r="R14" s="313">
        <v>0.88350000000000006</v>
      </c>
      <c r="S14" s="313">
        <v>1.3719999999999999</v>
      </c>
      <c r="T14" s="313" t="s">
        <v>882</v>
      </c>
      <c r="U14" s="313" t="s">
        <v>1249</v>
      </c>
      <c r="W14" s="308" t="str">
        <f t="shared" si="0"/>
        <v/>
      </c>
      <c r="Y14" s="9" t="s">
        <v>269</v>
      </c>
      <c r="Z14" s="1497" t="s">
        <v>253</v>
      </c>
      <c r="AA14" s="1497"/>
    </row>
    <row r="15" spans="1:27" x14ac:dyDescent="0.25">
      <c r="A15" s="308" t="s">
        <v>270</v>
      </c>
      <c r="B15" s="311" t="s">
        <v>931</v>
      </c>
      <c r="C15" s="311" t="s">
        <v>270</v>
      </c>
      <c r="D15" s="313">
        <v>99.9</v>
      </c>
      <c r="E15" s="313">
        <v>3.3</v>
      </c>
      <c r="F15" s="314">
        <v>0.65999999999999992</v>
      </c>
      <c r="G15" s="313">
        <v>0.98</v>
      </c>
      <c r="H15" s="313" t="s">
        <v>1654</v>
      </c>
      <c r="I15" s="320">
        <v>2.1150000000000002</v>
      </c>
      <c r="J15" s="313" t="s">
        <v>521</v>
      </c>
      <c r="K15" s="317" t="s">
        <v>470</v>
      </c>
      <c r="L15" s="313">
        <v>8.3000000000000004E-2</v>
      </c>
      <c r="M15" s="318">
        <v>0</v>
      </c>
      <c r="N15" s="319">
        <v>3.9E-2</v>
      </c>
      <c r="O15" s="313">
        <v>7.3999999999999996E-2</v>
      </c>
      <c r="P15" s="313">
        <v>0.19600000000000001</v>
      </c>
      <c r="Q15" s="313">
        <v>1.05</v>
      </c>
      <c r="R15" s="313">
        <v>0.8580000000000001</v>
      </c>
      <c r="S15" s="313">
        <v>1.3559999999999999</v>
      </c>
      <c r="T15" s="313" t="s">
        <v>882</v>
      </c>
      <c r="U15" s="313" t="s">
        <v>1249</v>
      </c>
      <c r="W15" s="308" t="str">
        <f t="shared" si="0"/>
        <v/>
      </c>
      <c r="Y15" s="9" t="s">
        <v>270</v>
      </c>
      <c r="Z15" s="1497" t="s">
        <v>254</v>
      </c>
      <c r="AA15" s="1497"/>
    </row>
    <row r="16" spans="1:27" x14ac:dyDescent="0.25">
      <c r="A16" s="308" t="s">
        <v>581</v>
      </c>
      <c r="B16" s="311" t="s">
        <v>931</v>
      </c>
      <c r="C16" s="311" t="s">
        <v>581</v>
      </c>
      <c r="D16" s="313">
        <v>99.9</v>
      </c>
      <c r="E16" s="313">
        <v>3.29</v>
      </c>
      <c r="F16" s="314">
        <v>0.65800000000000003</v>
      </c>
      <c r="G16" s="313">
        <v>0.99</v>
      </c>
      <c r="H16" s="313" t="s">
        <v>1654</v>
      </c>
      <c r="I16" s="320">
        <v>2.1160000000000001</v>
      </c>
      <c r="J16" s="313" t="s">
        <v>521</v>
      </c>
      <c r="K16" s="317" t="s">
        <v>469</v>
      </c>
      <c r="L16" s="313">
        <v>0.08</v>
      </c>
      <c r="M16" s="318">
        <v>0</v>
      </c>
      <c r="N16" s="319">
        <v>3.7999999999999999E-2</v>
      </c>
      <c r="O16" s="313">
        <v>8.0999999999999989E-2</v>
      </c>
      <c r="P16" s="313">
        <v>0.19900000000000001</v>
      </c>
      <c r="Q16" s="313">
        <v>1.05</v>
      </c>
      <c r="R16" s="313">
        <v>0.83250000000000013</v>
      </c>
      <c r="S16" s="313">
        <v>1.34</v>
      </c>
      <c r="T16" s="313" t="s">
        <v>882</v>
      </c>
      <c r="U16" s="313" t="s">
        <v>1249</v>
      </c>
      <c r="W16" s="308" t="str">
        <f t="shared" si="0"/>
        <v/>
      </c>
      <c r="Y16" s="9" t="s">
        <v>581</v>
      </c>
      <c r="Z16" s="1497" t="s">
        <v>582</v>
      </c>
      <c r="AA16" s="1497"/>
    </row>
    <row r="17" spans="1:27" x14ac:dyDescent="0.25">
      <c r="A17" s="308" t="s">
        <v>248</v>
      </c>
      <c r="B17" s="324" t="s">
        <v>932</v>
      </c>
      <c r="C17" s="325" t="s">
        <v>248</v>
      </c>
      <c r="D17" s="326">
        <v>99.9</v>
      </c>
      <c r="E17" s="326">
        <v>0.25</v>
      </c>
      <c r="F17" s="327">
        <v>0.05</v>
      </c>
      <c r="G17" s="326">
        <v>1</v>
      </c>
      <c r="H17" s="326" t="s">
        <v>185</v>
      </c>
      <c r="I17" s="328">
        <v>0</v>
      </c>
      <c r="J17" s="326" t="s">
        <v>520</v>
      </c>
      <c r="K17" s="329" t="s">
        <v>469</v>
      </c>
      <c r="L17" s="326">
        <v>0.01</v>
      </c>
      <c r="M17" s="330">
        <v>0</v>
      </c>
      <c r="N17" s="326">
        <v>0.05</v>
      </c>
      <c r="O17" s="326">
        <v>0.1</v>
      </c>
      <c r="P17" s="326">
        <v>0.16</v>
      </c>
      <c r="Q17" s="326">
        <v>1.05</v>
      </c>
      <c r="R17" s="326">
        <v>1.1640000000000001</v>
      </c>
      <c r="S17" s="326">
        <v>1.5680000000000001</v>
      </c>
      <c r="T17" s="326" t="s">
        <v>882</v>
      </c>
      <c r="U17" s="326" t="s">
        <v>1249</v>
      </c>
      <c r="W17" s="308" t="str">
        <f t="shared" si="0"/>
        <v/>
      </c>
      <c r="Y17" s="9" t="s">
        <v>248</v>
      </c>
      <c r="Z17" s="1497" t="s">
        <v>255</v>
      </c>
      <c r="AA17" s="1497"/>
    </row>
    <row r="18" spans="1:27" x14ac:dyDescent="0.25">
      <c r="A18" s="308" t="s">
        <v>271</v>
      </c>
      <c r="B18" s="324" t="s">
        <v>932</v>
      </c>
      <c r="C18" s="331" t="s">
        <v>271</v>
      </c>
      <c r="D18" s="326">
        <v>99.9</v>
      </c>
      <c r="E18" s="326">
        <v>0.25</v>
      </c>
      <c r="F18" s="327">
        <v>0.05</v>
      </c>
      <c r="G18" s="326">
        <v>0.5</v>
      </c>
      <c r="H18" s="326" t="s">
        <v>185</v>
      </c>
      <c r="I18" s="328">
        <v>0</v>
      </c>
      <c r="J18" s="326" t="s">
        <v>520</v>
      </c>
      <c r="K18" s="329" t="s">
        <v>469</v>
      </c>
      <c r="L18" s="326">
        <v>0.02</v>
      </c>
      <c r="M18" s="330">
        <v>0</v>
      </c>
      <c r="N18" s="326">
        <v>6.7000000000000004E-2</v>
      </c>
      <c r="O18" s="326">
        <v>-0.125</v>
      </c>
      <c r="P18" s="326">
        <v>-3.7999999999999999E-2</v>
      </c>
      <c r="Q18" s="326">
        <v>1.05</v>
      </c>
      <c r="R18" s="326">
        <v>3.7769999999999997</v>
      </c>
      <c r="S18" s="326">
        <v>3.92</v>
      </c>
      <c r="T18" s="326" t="s">
        <v>882</v>
      </c>
      <c r="U18" s="326" t="s">
        <v>1249</v>
      </c>
      <c r="W18" s="308" t="str">
        <f t="shared" si="0"/>
        <v/>
      </c>
      <c r="Y18" s="9" t="s">
        <v>271</v>
      </c>
      <c r="Z18" s="1497" t="s">
        <v>256</v>
      </c>
      <c r="AA18" s="1497"/>
    </row>
    <row r="19" spans="1:27" x14ac:dyDescent="0.25">
      <c r="A19" s="308" t="s">
        <v>272</v>
      </c>
      <c r="B19" s="324" t="s">
        <v>932</v>
      </c>
      <c r="C19" s="325" t="s">
        <v>272</v>
      </c>
      <c r="D19" s="326">
        <v>99.9</v>
      </c>
      <c r="E19" s="326">
        <v>1</v>
      </c>
      <c r="F19" s="327">
        <v>0.2</v>
      </c>
      <c r="G19" s="326">
        <v>1</v>
      </c>
      <c r="H19" s="326" t="s">
        <v>185</v>
      </c>
      <c r="I19" s="328">
        <v>0</v>
      </c>
      <c r="J19" s="326" t="s">
        <v>520</v>
      </c>
      <c r="K19" s="329" t="s">
        <v>469</v>
      </c>
      <c r="L19" s="326">
        <v>0.03</v>
      </c>
      <c r="M19" s="330">
        <v>0</v>
      </c>
      <c r="N19" s="326">
        <v>0.04</v>
      </c>
      <c r="O19" s="326">
        <v>0.1</v>
      </c>
      <c r="P19" s="326">
        <v>0.16999999999999998</v>
      </c>
      <c r="Q19" s="326">
        <v>1.05</v>
      </c>
      <c r="R19" s="326">
        <v>0.8085</v>
      </c>
      <c r="S19" s="326">
        <v>1.325</v>
      </c>
      <c r="T19" s="326" t="s">
        <v>882</v>
      </c>
      <c r="U19" s="326" t="s">
        <v>1249</v>
      </c>
      <c r="W19" s="308" t="str">
        <f t="shared" si="0"/>
        <v/>
      </c>
      <c r="Y19" s="9" t="s">
        <v>272</v>
      </c>
      <c r="Z19" s="1497" t="s">
        <v>257</v>
      </c>
      <c r="AA19" s="1497"/>
    </row>
    <row r="20" spans="1:27" x14ac:dyDescent="0.25">
      <c r="A20" s="12" t="s">
        <v>273</v>
      </c>
      <c r="B20" s="332" t="s">
        <v>932</v>
      </c>
      <c r="C20" s="333" t="s">
        <v>273</v>
      </c>
      <c r="D20" s="334">
        <v>99.9</v>
      </c>
      <c r="E20" s="334">
        <v>1</v>
      </c>
      <c r="F20" s="327">
        <v>0.2</v>
      </c>
      <c r="G20" s="334">
        <v>0.5</v>
      </c>
      <c r="H20" s="334" t="s">
        <v>185</v>
      </c>
      <c r="I20" s="328">
        <v>0</v>
      </c>
      <c r="J20" s="334" t="s">
        <v>520</v>
      </c>
      <c r="K20" s="329" t="s">
        <v>469</v>
      </c>
      <c r="L20" s="334">
        <v>0.04</v>
      </c>
      <c r="M20" s="335">
        <v>0</v>
      </c>
      <c r="N20" s="334">
        <v>7.4999999999999997E-2</v>
      </c>
      <c r="O20" s="334">
        <v>-0.125</v>
      </c>
      <c r="P20" s="326">
        <v>-0.01</v>
      </c>
      <c r="Q20" s="326">
        <v>1.05</v>
      </c>
      <c r="R20" s="334">
        <v>2.5935000000000001</v>
      </c>
      <c r="S20" s="326">
        <v>2.798</v>
      </c>
      <c r="T20" s="326" t="s">
        <v>882</v>
      </c>
      <c r="U20" s="326" t="s">
        <v>1249</v>
      </c>
      <c r="W20" s="308" t="str">
        <f t="shared" si="0"/>
        <v/>
      </c>
      <c r="Y20" s="9" t="s">
        <v>273</v>
      </c>
      <c r="Z20" s="1497" t="s">
        <v>258</v>
      </c>
      <c r="AA20" s="1497"/>
    </row>
    <row r="21" spans="1:27" x14ac:dyDescent="0.25">
      <c r="A21" s="12" t="s">
        <v>274</v>
      </c>
      <c r="B21" s="332" t="s">
        <v>932</v>
      </c>
      <c r="C21" s="336" t="s">
        <v>274</v>
      </c>
      <c r="D21" s="334">
        <v>99.9</v>
      </c>
      <c r="E21" s="334">
        <v>5</v>
      </c>
      <c r="F21" s="327">
        <v>1</v>
      </c>
      <c r="G21" s="334">
        <v>1</v>
      </c>
      <c r="H21" s="334" t="s">
        <v>185</v>
      </c>
      <c r="I21" s="328">
        <v>0</v>
      </c>
      <c r="J21" s="334" t="s">
        <v>520</v>
      </c>
      <c r="K21" s="329" t="s">
        <v>469</v>
      </c>
      <c r="L21" s="334">
        <v>0.05</v>
      </c>
      <c r="M21" s="335">
        <v>0</v>
      </c>
      <c r="N21" s="334">
        <v>0.03</v>
      </c>
      <c r="O21" s="334">
        <v>0.1</v>
      </c>
      <c r="P21" s="326">
        <v>0.18</v>
      </c>
      <c r="Q21" s="326">
        <v>1.05</v>
      </c>
      <c r="R21" s="334">
        <v>0.8085</v>
      </c>
      <c r="S21" s="326">
        <v>1.325</v>
      </c>
      <c r="T21" s="334" t="s">
        <v>882</v>
      </c>
      <c r="U21" s="334" t="s">
        <v>1249</v>
      </c>
      <c r="W21" s="308" t="str">
        <f t="shared" si="0"/>
        <v/>
      </c>
      <c r="Y21" s="9" t="s">
        <v>274</v>
      </c>
      <c r="Z21" s="1497" t="s">
        <v>259</v>
      </c>
      <c r="AA21" s="1497"/>
    </row>
    <row r="22" spans="1:27" x14ac:dyDescent="0.25">
      <c r="A22" s="12" t="s">
        <v>275</v>
      </c>
      <c r="B22" s="332" t="s">
        <v>932</v>
      </c>
      <c r="C22" s="333" t="s">
        <v>275</v>
      </c>
      <c r="D22" s="334">
        <v>99.9</v>
      </c>
      <c r="E22" s="334">
        <v>5</v>
      </c>
      <c r="F22" s="327">
        <v>1</v>
      </c>
      <c r="G22" s="334">
        <v>0.5</v>
      </c>
      <c r="H22" s="334" t="s">
        <v>185</v>
      </c>
      <c r="I22" s="328">
        <v>0</v>
      </c>
      <c r="J22" s="334" t="s">
        <v>520</v>
      </c>
      <c r="K22" s="329" t="s">
        <v>469</v>
      </c>
      <c r="L22" s="334">
        <v>0.06</v>
      </c>
      <c r="M22" s="335">
        <v>0</v>
      </c>
      <c r="N22" s="334">
        <v>8.2000000000000003E-2</v>
      </c>
      <c r="O22" s="334">
        <v>-0.125</v>
      </c>
      <c r="P22" s="326">
        <v>1.7000000000000001E-2</v>
      </c>
      <c r="Q22" s="326">
        <v>1.05</v>
      </c>
      <c r="R22" s="334">
        <v>2.5935000000000001</v>
      </c>
      <c r="S22" s="326">
        <v>2.798</v>
      </c>
      <c r="T22" s="334" t="s">
        <v>882</v>
      </c>
      <c r="U22" s="334" t="s">
        <v>1249</v>
      </c>
      <c r="W22" s="308" t="str">
        <f t="shared" si="0"/>
        <v/>
      </c>
      <c r="Y22" s="9" t="s">
        <v>275</v>
      </c>
      <c r="Z22" s="1497" t="s">
        <v>260</v>
      </c>
      <c r="AA22" s="1497"/>
    </row>
    <row r="23" spans="1:27" x14ac:dyDescent="0.25">
      <c r="A23" s="12" t="s">
        <v>276</v>
      </c>
      <c r="B23" s="332" t="s">
        <v>932</v>
      </c>
      <c r="C23" s="336" t="s">
        <v>276</v>
      </c>
      <c r="D23" s="334">
        <v>99.9</v>
      </c>
      <c r="E23" s="334">
        <v>6</v>
      </c>
      <c r="F23" s="327">
        <v>1.2</v>
      </c>
      <c r="G23" s="334">
        <v>1</v>
      </c>
      <c r="H23" s="334" t="s">
        <v>185</v>
      </c>
      <c r="I23" s="328">
        <v>0</v>
      </c>
      <c r="J23" s="334" t="s">
        <v>520</v>
      </c>
      <c r="K23" s="329" t="s">
        <v>469</v>
      </c>
      <c r="L23" s="334">
        <v>6.9999999999999993E-2</v>
      </c>
      <c r="M23" s="335">
        <v>0</v>
      </c>
      <c r="N23" s="334">
        <v>0.01</v>
      </c>
      <c r="O23" s="334">
        <v>0.1</v>
      </c>
      <c r="P23" s="326">
        <v>0.18</v>
      </c>
      <c r="Q23" s="326">
        <v>1.05</v>
      </c>
      <c r="R23" s="334">
        <v>0.8085</v>
      </c>
      <c r="S23" s="326">
        <v>1.325</v>
      </c>
      <c r="T23" s="334" t="s">
        <v>882</v>
      </c>
      <c r="U23" s="334" t="s">
        <v>1249</v>
      </c>
      <c r="W23" s="308" t="str">
        <f t="shared" si="0"/>
        <v/>
      </c>
      <c r="Y23" s="9" t="s">
        <v>276</v>
      </c>
      <c r="Z23" s="1497" t="s">
        <v>261</v>
      </c>
      <c r="AA23" s="1497"/>
    </row>
    <row r="24" spans="1:27" x14ac:dyDescent="0.25">
      <c r="A24" s="308" t="s">
        <v>277</v>
      </c>
      <c r="B24" s="324" t="s">
        <v>932</v>
      </c>
      <c r="C24" s="331" t="s">
        <v>277</v>
      </c>
      <c r="D24" s="326">
        <v>99.9</v>
      </c>
      <c r="E24" s="326">
        <v>6</v>
      </c>
      <c r="F24" s="327">
        <v>1.2</v>
      </c>
      <c r="G24" s="326">
        <v>0.5</v>
      </c>
      <c r="H24" s="326" t="s">
        <v>185</v>
      </c>
      <c r="I24" s="328">
        <v>0</v>
      </c>
      <c r="J24" s="326" t="s">
        <v>520</v>
      </c>
      <c r="K24" s="329" t="s">
        <v>469</v>
      </c>
      <c r="L24" s="326">
        <v>0.08</v>
      </c>
      <c r="M24" s="330">
        <v>0</v>
      </c>
      <c r="N24" s="334">
        <v>7.9000000000000001E-2</v>
      </c>
      <c r="O24" s="326">
        <v>-0.125</v>
      </c>
      <c r="P24" s="326">
        <v>3.4000000000000002E-2</v>
      </c>
      <c r="Q24" s="326">
        <v>1.05</v>
      </c>
      <c r="R24" s="326">
        <v>2.5935000000000001</v>
      </c>
      <c r="S24" s="326">
        <v>2.798</v>
      </c>
      <c r="T24" s="326" t="s">
        <v>882</v>
      </c>
      <c r="U24" s="326" t="s">
        <v>1249</v>
      </c>
      <c r="W24" s="308" t="str">
        <f t="shared" si="0"/>
        <v/>
      </c>
      <c r="Y24" s="9" t="s">
        <v>277</v>
      </c>
      <c r="Z24" s="1497" t="s">
        <v>262</v>
      </c>
      <c r="AA24" s="1497"/>
    </row>
    <row r="25" spans="1:27" x14ac:dyDescent="0.25">
      <c r="A25" s="308" t="s">
        <v>278</v>
      </c>
      <c r="B25" s="324" t="s">
        <v>932</v>
      </c>
      <c r="C25" s="337" t="s">
        <v>278</v>
      </c>
      <c r="D25" s="338">
        <v>99.9</v>
      </c>
      <c r="E25" s="338">
        <v>5</v>
      </c>
      <c r="F25" s="339">
        <v>1</v>
      </c>
      <c r="G25" s="338">
        <v>1</v>
      </c>
      <c r="H25" s="338" t="s">
        <v>185</v>
      </c>
      <c r="I25" s="328">
        <v>0</v>
      </c>
      <c r="J25" s="338" t="s">
        <v>520</v>
      </c>
      <c r="K25" s="340" t="s">
        <v>469</v>
      </c>
      <c r="L25" s="338">
        <v>0.09</v>
      </c>
      <c r="M25" s="341">
        <v>0</v>
      </c>
      <c r="N25" s="338">
        <v>0.03</v>
      </c>
      <c r="O25" s="338">
        <v>0.1</v>
      </c>
      <c r="P25" s="326">
        <v>0.22</v>
      </c>
      <c r="Q25" s="326">
        <v>1.5</v>
      </c>
      <c r="R25" s="338">
        <v>0.8085</v>
      </c>
      <c r="S25" s="326">
        <v>1.704</v>
      </c>
      <c r="T25" s="338" t="s">
        <v>882</v>
      </c>
      <c r="U25" s="338" t="s">
        <v>1249</v>
      </c>
      <c r="W25" s="308" t="str">
        <f t="shared" si="0"/>
        <v/>
      </c>
      <c r="Y25" s="9" t="s">
        <v>278</v>
      </c>
      <c r="Z25" s="1497" t="s">
        <v>263</v>
      </c>
      <c r="AA25" s="1497"/>
    </row>
    <row r="26" spans="1:27" x14ac:dyDescent="0.25">
      <c r="A26" s="308" t="s">
        <v>279</v>
      </c>
      <c r="B26" s="324"/>
      <c r="C26" s="342"/>
      <c r="D26" s="338"/>
      <c r="E26" s="338"/>
      <c r="F26" s="339"/>
      <c r="G26" s="338"/>
      <c r="H26" s="338"/>
      <c r="I26" s="328"/>
      <c r="J26" s="338"/>
      <c r="K26" s="340"/>
      <c r="L26" s="338"/>
      <c r="M26" s="341"/>
      <c r="N26" s="338"/>
      <c r="O26" s="338"/>
      <c r="P26" s="326"/>
      <c r="Q26" s="326"/>
      <c r="R26" s="338"/>
      <c r="S26" s="326"/>
      <c r="T26" s="338"/>
      <c r="U26" s="338"/>
      <c r="W26" s="308" t="str">
        <f t="shared" si="0"/>
        <v/>
      </c>
      <c r="Y26" s="9" t="s">
        <v>279</v>
      </c>
      <c r="Z26" s="1497" t="s">
        <v>264</v>
      </c>
      <c r="AA26" s="1497"/>
    </row>
    <row r="27" spans="1:27" x14ac:dyDescent="0.25">
      <c r="A27" s="308" t="s">
        <v>280</v>
      </c>
      <c r="B27" s="324"/>
      <c r="C27" s="337"/>
      <c r="D27" s="338"/>
      <c r="E27" s="338"/>
      <c r="F27" s="339"/>
      <c r="G27" s="338"/>
      <c r="H27" s="338"/>
      <c r="I27" s="328"/>
      <c r="J27" s="338"/>
      <c r="K27" s="340"/>
      <c r="L27" s="338"/>
      <c r="M27" s="341"/>
      <c r="N27" s="338"/>
      <c r="O27" s="338"/>
      <c r="P27" s="326"/>
      <c r="Q27" s="326"/>
      <c r="R27" s="338"/>
      <c r="S27" s="326"/>
      <c r="T27" s="338"/>
      <c r="U27" s="338"/>
      <c r="W27" s="308" t="str">
        <f t="shared" si="0"/>
        <v/>
      </c>
      <c r="Y27" s="9" t="s">
        <v>280</v>
      </c>
      <c r="Z27" s="1497" t="s">
        <v>265</v>
      </c>
      <c r="AA27" s="1497"/>
    </row>
    <row r="28" spans="1:27" x14ac:dyDescent="0.25">
      <c r="A28" s="308" t="s">
        <v>567</v>
      </c>
      <c r="B28" s="324" t="s">
        <v>932</v>
      </c>
      <c r="C28" s="325" t="s">
        <v>567</v>
      </c>
      <c r="D28" s="326">
        <v>99.9</v>
      </c>
      <c r="E28" s="326">
        <v>0.25</v>
      </c>
      <c r="F28" s="327">
        <v>0.05</v>
      </c>
      <c r="G28" s="326">
        <v>1</v>
      </c>
      <c r="H28" s="326" t="s">
        <v>185</v>
      </c>
      <c r="I28" s="328">
        <v>0</v>
      </c>
      <c r="J28" s="334" t="s">
        <v>521</v>
      </c>
      <c r="K28" s="329" t="s">
        <v>470</v>
      </c>
      <c r="L28" s="326">
        <v>0.1</v>
      </c>
      <c r="M28" s="330">
        <v>0</v>
      </c>
      <c r="N28" s="326">
        <v>0.05</v>
      </c>
      <c r="O28" s="326">
        <v>0.1</v>
      </c>
      <c r="P28" s="326">
        <v>0.25</v>
      </c>
      <c r="Q28" s="326">
        <v>1.05</v>
      </c>
      <c r="R28" s="326">
        <v>1.1640000000000001</v>
      </c>
      <c r="S28" s="326">
        <v>1.5680000000000001</v>
      </c>
      <c r="T28" s="326" t="s">
        <v>882</v>
      </c>
      <c r="U28" s="326" t="s">
        <v>1249</v>
      </c>
      <c r="W28" s="308" t="str">
        <f t="shared" si="0"/>
        <v/>
      </c>
      <c r="Y28" s="9" t="s">
        <v>567</v>
      </c>
      <c r="Z28" s="1497" t="s">
        <v>255</v>
      </c>
      <c r="AA28" s="1497"/>
    </row>
    <row r="29" spans="1:27" x14ac:dyDescent="0.25">
      <c r="A29" s="308" t="s">
        <v>568</v>
      </c>
      <c r="B29" s="324" t="s">
        <v>932</v>
      </c>
      <c r="C29" s="331" t="s">
        <v>568</v>
      </c>
      <c r="D29" s="326">
        <v>99.9</v>
      </c>
      <c r="E29" s="326">
        <v>0.25</v>
      </c>
      <c r="F29" s="327">
        <v>0.05</v>
      </c>
      <c r="G29" s="326">
        <v>0.5</v>
      </c>
      <c r="H29" s="326" t="s">
        <v>185</v>
      </c>
      <c r="I29" s="328">
        <v>0</v>
      </c>
      <c r="J29" s="334" t="s">
        <v>521</v>
      </c>
      <c r="K29" s="329" t="s">
        <v>470</v>
      </c>
      <c r="L29" s="326">
        <v>0.11</v>
      </c>
      <c r="M29" s="330">
        <v>0</v>
      </c>
      <c r="N29" s="326">
        <v>6.7000000000000004E-2</v>
      </c>
      <c r="O29" s="326">
        <v>-0.125</v>
      </c>
      <c r="P29" s="326">
        <v>5.1999999999999998E-2</v>
      </c>
      <c r="Q29" s="326">
        <v>1.05</v>
      </c>
      <c r="R29" s="326">
        <v>3.7769999999999997</v>
      </c>
      <c r="S29" s="326">
        <v>3.92</v>
      </c>
      <c r="T29" s="326" t="s">
        <v>882</v>
      </c>
      <c r="U29" s="326" t="s">
        <v>1249</v>
      </c>
      <c r="W29" s="308" t="str">
        <f t="shared" si="0"/>
        <v/>
      </c>
      <c r="Y29" s="9" t="s">
        <v>568</v>
      </c>
      <c r="Z29" s="1497" t="s">
        <v>256</v>
      </c>
      <c r="AA29" s="1497"/>
    </row>
    <row r="30" spans="1:27" x14ac:dyDescent="0.25">
      <c r="A30" s="308" t="s">
        <v>569</v>
      </c>
      <c r="B30" s="324" t="s">
        <v>932</v>
      </c>
      <c r="C30" s="325" t="s">
        <v>569</v>
      </c>
      <c r="D30" s="326">
        <v>99.9</v>
      </c>
      <c r="E30" s="326">
        <v>1</v>
      </c>
      <c r="F30" s="327">
        <v>0.2</v>
      </c>
      <c r="G30" s="326">
        <v>1</v>
      </c>
      <c r="H30" s="326" t="s">
        <v>185</v>
      </c>
      <c r="I30" s="328">
        <v>0</v>
      </c>
      <c r="J30" s="334" t="s">
        <v>521</v>
      </c>
      <c r="K30" s="329" t="s">
        <v>470</v>
      </c>
      <c r="L30" s="326">
        <v>0.12</v>
      </c>
      <c r="M30" s="330">
        <v>0</v>
      </c>
      <c r="N30" s="326">
        <v>0.04</v>
      </c>
      <c r="O30" s="326">
        <v>0.1</v>
      </c>
      <c r="P30" s="326">
        <v>0.26</v>
      </c>
      <c r="Q30" s="326">
        <v>1.05</v>
      </c>
      <c r="R30" s="326">
        <v>0.8085</v>
      </c>
      <c r="S30" s="326">
        <v>1.325</v>
      </c>
      <c r="T30" s="326" t="s">
        <v>882</v>
      </c>
      <c r="U30" s="326" t="s">
        <v>1249</v>
      </c>
      <c r="W30" s="308" t="str">
        <f t="shared" si="0"/>
        <v/>
      </c>
      <c r="Y30" s="9" t="s">
        <v>569</v>
      </c>
      <c r="Z30" s="1497" t="s">
        <v>257</v>
      </c>
      <c r="AA30" s="1497"/>
    </row>
    <row r="31" spans="1:27" x14ac:dyDescent="0.25">
      <c r="A31" s="308" t="s">
        <v>570</v>
      </c>
      <c r="B31" s="324" t="s">
        <v>932</v>
      </c>
      <c r="C31" s="333" t="s">
        <v>570</v>
      </c>
      <c r="D31" s="334">
        <v>99.9</v>
      </c>
      <c r="E31" s="334">
        <v>1</v>
      </c>
      <c r="F31" s="327">
        <v>0.2</v>
      </c>
      <c r="G31" s="334">
        <v>0.5</v>
      </c>
      <c r="H31" s="334" t="s">
        <v>185</v>
      </c>
      <c r="I31" s="328">
        <v>0</v>
      </c>
      <c r="J31" s="334" t="s">
        <v>521</v>
      </c>
      <c r="K31" s="329" t="s">
        <v>470</v>
      </c>
      <c r="L31" s="334">
        <v>0.13</v>
      </c>
      <c r="M31" s="335">
        <v>0</v>
      </c>
      <c r="N31" s="334">
        <v>7.4999999999999997E-2</v>
      </c>
      <c r="O31" s="334">
        <v>-0.125</v>
      </c>
      <c r="P31" s="326">
        <v>0.08</v>
      </c>
      <c r="Q31" s="326">
        <v>1.05</v>
      </c>
      <c r="R31" s="334">
        <v>2.5935000000000001</v>
      </c>
      <c r="S31" s="334">
        <v>2.798</v>
      </c>
      <c r="T31" s="326" t="s">
        <v>882</v>
      </c>
      <c r="U31" s="326" t="s">
        <v>1249</v>
      </c>
      <c r="W31" s="308" t="str">
        <f t="shared" si="0"/>
        <v/>
      </c>
      <c r="Y31" s="9" t="s">
        <v>570</v>
      </c>
      <c r="Z31" s="1497" t="s">
        <v>258</v>
      </c>
      <c r="AA31" s="1497"/>
    </row>
    <row r="32" spans="1:27" x14ac:dyDescent="0.25">
      <c r="A32" s="308" t="s">
        <v>571</v>
      </c>
      <c r="B32" s="324" t="s">
        <v>932</v>
      </c>
      <c r="C32" s="336" t="s">
        <v>571</v>
      </c>
      <c r="D32" s="334">
        <v>99.9</v>
      </c>
      <c r="E32" s="334">
        <v>5</v>
      </c>
      <c r="F32" s="327">
        <v>1</v>
      </c>
      <c r="G32" s="334">
        <v>1</v>
      </c>
      <c r="H32" s="334" t="s">
        <v>185</v>
      </c>
      <c r="I32" s="328">
        <v>0</v>
      </c>
      <c r="J32" s="334" t="s">
        <v>521</v>
      </c>
      <c r="K32" s="329" t="s">
        <v>470</v>
      </c>
      <c r="L32" s="334">
        <v>0.13999999999999999</v>
      </c>
      <c r="M32" s="335">
        <v>0</v>
      </c>
      <c r="N32" s="334">
        <v>0.03</v>
      </c>
      <c r="O32" s="334">
        <v>0.1</v>
      </c>
      <c r="P32" s="326">
        <v>0.27</v>
      </c>
      <c r="Q32" s="326">
        <v>1.05</v>
      </c>
      <c r="R32" s="334">
        <v>0.8085</v>
      </c>
      <c r="S32" s="334">
        <v>1.325</v>
      </c>
      <c r="T32" s="334" t="s">
        <v>882</v>
      </c>
      <c r="U32" s="334" t="s">
        <v>1249</v>
      </c>
      <c r="W32" s="308" t="str">
        <f t="shared" si="0"/>
        <v/>
      </c>
      <c r="Y32" s="9" t="s">
        <v>571</v>
      </c>
      <c r="Z32" s="1497" t="s">
        <v>259</v>
      </c>
      <c r="AA32" s="1497"/>
    </row>
    <row r="33" spans="1:27" x14ac:dyDescent="0.25">
      <c r="A33" s="308" t="s">
        <v>572</v>
      </c>
      <c r="B33" s="324" t="s">
        <v>932</v>
      </c>
      <c r="C33" s="333" t="s">
        <v>572</v>
      </c>
      <c r="D33" s="334">
        <v>99.9</v>
      </c>
      <c r="E33" s="334">
        <v>5</v>
      </c>
      <c r="F33" s="327">
        <v>1</v>
      </c>
      <c r="G33" s="334">
        <v>0.5</v>
      </c>
      <c r="H33" s="334" t="s">
        <v>185</v>
      </c>
      <c r="I33" s="328">
        <v>0</v>
      </c>
      <c r="J33" s="334" t="s">
        <v>521</v>
      </c>
      <c r="K33" s="329" t="s">
        <v>470</v>
      </c>
      <c r="L33" s="334">
        <v>0.15</v>
      </c>
      <c r="M33" s="335">
        <v>0</v>
      </c>
      <c r="N33" s="334">
        <v>8.2000000000000003E-2</v>
      </c>
      <c r="O33" s="334">
        <v>-0.125</v>
      </c>
      <c r="P33" s="326">
        <v>0.107</v>
      </c>
      <c r="Q33" s="326">
        <v>1.05</v>
      </c>
      <c r="R33" s="334">
        <v>2.5935000000000001</v>
      </c>
      <c r="S33" s="334">
        <v>2.798</v>
      </c>
      <c r="T33" s="334" t="s">
        <v>882</v>
      </c>
      <c r="U33" s="334" t="s">
        <v>1249</v>
      </c>
      <c r="W33" s="308" t="str">
        <f t="shared" si="0"/>
        <v/>
      </c>
      <c r="Y33" s="9" t="s">
        <v>572</v>
      </c>
      <c r="Z33" s="306" t="s">
        <v>260</v>
      </c>
      <c r="AA33" s="306"/>
    </row>
    <row r="34" spans="1:27" x14ac:dyDescent="0.25">
      <c r="A34" s="308" t="s">
        <v>573</v>
      </c>
      <c r="B34" s="324" t="s">
        <v>932</v>
      </c>
      <c r="C34" s="336" t="s">
        <v>573</v>
      </c>
      <c r="D34" s="334">
        <v>99.9</v>
      </c>
      <c r="E34" s="334">
        <v>6</v>
      </c>
      <c r="F34" s="327">
        <v>1.2</v>
      </c>
      <c r="G34" s="334">
        <v>1</v>
      </c>
      <c r="H34" s="334" t="s">
        <v>185</v>
      </c>
      <c r="I34" s="328">
        <v>0</v>
      </c>
      <c r="J34" s="334" t="s">
        <v>521</v>
      </c>
      <c r="K34" s="329" t="s">
        <v>470</v>
      </c>
      <c r="L34" s="334">
        <v>0.16</v>
      </c>
      <c r="M34" s="335">
        <v>0</v>
      </c>
      <c r="N34" s="334">
        <v>0.01</v>
      </c>
      <c r="O34" s="334">
        <v>0.1</v>
      </c>
      <c r="P34" s="326">
        <v>0.27</v>
      </c>
      <c r="Q34" s="326">
        <v>1.05</v>
      </c>
      <c r="R34" s="334">
        <v>0.8085</v>
      </c>
      <c r="S34" s="334">
        <v>1.325</v>
      </c>
      <c r="T34" s="334" t="s">
        <v>882</v>
      </c>
      <c r="U34" s="334" t="s">
        <v>1249</v>
      </c>
      <c r="W34" s="308" t="str">
        <f t="shared" si="0"/>
        <v/>
      </c>
      <c r="Y34" s="9" t="s">
        <v>573</v>
      </c>
      <c r="Z34" s="306" t="s">
        <v>261</v>
      </c>
      <c r="AA34" s="306"/>
    </row>
    <row r="35" spans="1:27" x14ac:dyDescent="0.25">
      <c r="A35" s="308" t="s">
        <v>574</v>
      </c>
      <c r="B35" s="324" t="s">
        <v>932</v>
      </c>
      <c r="C35" s="331" t="s">
        <v>574</v>
      </c>
      <c r="D35" s="326">
        <v>99.9</v>
      </c>
      <c r="E35" s="326">
        <v>6</v>
      </c>
      <c r="F35" s="327">
        <v>1.2</v>
      </c>
      <c r="G35" s="326">
        <v>0.5</v>
      </c>
      <c r="H35" s="326" t="s">
        <v>185</v>
      </c>
      <c r="I35" s="328">
        <v>0</v>
      </c>
      <c r="J35" s="326" t="s">
        <v>521</v>
      </c>
      <c r="K35" s="329" t="s">
        <v>470</v>
      </c>
      <c r="L35" s="326">
        <v>0.16999999999999998</v>
      </c>
      <c r="M35" s="330">
        <v>0</v>
      </c>
      <c r="N35" s="334">
        <v>7.9000000000000001E-2</v>
      </c>
      <c r="O35" s="326">
        <v>-0.125</v>
      </c>
      <c r="P35" s="326">
        <v>0.124</v>
      </c>
      <c r="Q35" s="326">
        <v>1.05</v>
      </c>
      <c r="R35" s="326">
        <v>2.5935000000000001</v>
      </c>
      <c r="S35" s="326">
        <v>2.798</v>
      </c>
      <c r="T35" s="326" t="s">
        <v>882</v>
      </c>
      <c r="U35" s="326" t="s">
        <v>1249</v>
      </c>
      <c r="W35" s="308" t="str">
        <f t="shared" si="0"/>
        <v/>
      </c>
      <c r="Y35" s="9" t="s">
        <v>574</v>
      </c>
      <c r="Z35" s="306" t="s">
        <v>262</v>
      </c>
      <c r="AA35" s="306"/>
    </row>
    <row r="36" spans="1:27" x14ac:dyDescent="0.25">
      <c r="A36" s="308" t="s">
        <v>575</v>
      </c>
      <c r="B36" s="324" t="s">
        <v>932</v>
      </c>
      <c r="C36" s="337" t="s">
        <v>575</v>
      </c>
      <c r="D36" s="338">
        <v>99.9</v>
      </c>
      <c r="E36" s="338">
        <v>5</v>
      </c>
      <c r="F36" s="339">
        <v>1</v>
      </c>
      <c r="G36" s="338">
        <v>1</v>
      </c>
      <c r="H36" s="338" t="s">
        <v>185</v>
      </c>
      <c r="I36" s="328">
        <v>0</v>
      </c>
      <c r="J36" s="338" t="s">
        <v>521</v>
      </c>
      <c r="K36" s="340" t="s">
        <v>470</v>
      </c>
      <c r="L36" s="338">
        <v>0.18</v>
      </c>
      <c r="M36" s="341">
        <v>0</v>
      </c>
      <c r="N36" s="338">
        <v>0.03</v>
      </c>
      <c r="O36" s="338">
        <v>0.1</v>
      </c>
      <c r="P36" s="326">
        <v>0.31</v>
      </c>
      <c r="Q36" s="326">
        <v>1.5</v>
      </c>
      <c r="R36" s="338">
        <v>0.8085</v>
      </c>
      <c r="S36" s="338">
        <v>1.704</v>
      </c>
      <c r="T36" s="338" t="s">
        <v>882</v>
      </c>
      <c r="U36" s="338" t="s">
        <v>1249</v>
      </c>
      <c r="W36" s="308" t="str">
        <f t="shared" si="0"/>
        <v/>
      </c>
      <c r="Y36" s="9" t="s">
        <v>575</v>
      </c>
      <c r="Z36" s="306" t="s">
        <v>263</v>
      </c>
      <c r="AA36" s="306"/>
    </row>
    <row r="37" spans="1:27" x14ac:dyDescent="0.25">
      <c r="A37" s="308" t="s">
        <v>576</v>
      </c>
      <c r="B37" s="324"/>
      <c r="C37" s="342"/>
      <c r="D37" s="338"/>
      <c r="E37" s="338"/>
      <c r="F37" s="339"/>
      <c r="G37" s="338"/>
      <c r="H37" s="338"/>
      <c r="I37" s="328"/>
      <c r="J37" s="338"/>
      <c r="K37" s="340"/>
      <c r="L37" s="338"/>
      <c r="M37" s="341"/>
      <c r="N37" s="338"/>
      <c r="O37" s="338"/>
      <c r="P37" s="326"/>
      <c r="Q37" s="326"/>
      <c r="R37" s="338"/>
      <c r="S37" s="338"/>
      <c r="T37" s="338"/>
      <c r="U37" s="338"/>
      <c r="W37" s="308" t="str">
        <f t="shared" si="0"/>
        <v/>
      </c>
      <c r="Y37" s="9" t="s">
        <v>576</v>
      </c>
      <c r="Z37" s="306" t="s">
        <v>264</v>
      </c>
      <c r="AA37" s="306"/>
    </row>
    <row r="38" spans="1:27" x14ac:dyDescent="0.25">
      <c r="A38" s="308" t="s">
        <v>577</v>
      </c>
      <c r="B38" s="324"/>
      <c r="C38" s="342"/>
      <c r="D38" s="338"/>
      <c r="E38" s="338"/>
      <c r="F38" s="339"/>
      <c r="G38" s="338"/>
      <c r="H38" s="338"/>
      <c r="I38" s="328"/>
      <c r="J38" s="338"/>
      <c r="K38" s="340"/>
      <c r="L38" s="338"/>
      <c r="M38" s="341"/>
      <c r="N38" s="338"/>
      <c r="O38" s="338"/>
      <c r="P38" s="326"/>
      <c r="Q38" s="326"/>
      <c r="R38" s="338"/>
      <c r="S38" s="338"/>
      <c r="T38" s="338"/>
      <c r="U38" s="338"/>
      <c r="W38" s="308" t="str">
        <f t="shared" si="0"/>
        <v/>
      </c>
      <c r="Y38" s="9" t="s">
        <v>577</v>
      </c>
      <c r="Z38" s="1497" t="s">
        <v>265</v>
      </c>
      <c r="AA38" s="1497"/>
    </row>
    <row r="39" spans="1:27" x14ac:dyDescent="0.25">
      <c r="A39" s="31"/>
      <c r="B39" s="31"/>
      <c r="C39" s="343"/>
      <c r="D39" s="344"/>
      <c r="E39" s="344"/>
      <c r="F39" s="44"/>
      <c r="G39" s="344"/>
      <c r="H39" s="344"/>
      <c r="I39" s="7"/>
      <c r="J39" s="344"/>
      <c r="K39" s="344"/>
      <c r="L39" s="345"/>
      <c r="M39" s="344"/>
      <c r="N39" s="344"/>
      <c r="O39" s="344"/>
      <c r="P39" s="344"/>
      <c r="Q39" s="344"/>
      <c r="R39" s="344"/>
      <c r="S39" s="344"/>
      <c r="T39" s="344"/>
    </row>
    <row r="40" spans="1:27" x14ac:dyDescent="0.25">
      <c r="A40" s="31"/>
      <c r="B40" s="31"/>
      <c r="C40" s="343"/>
      <c r="D40" s="344"/>
      <c r="E40" s="344"/>
      <c r="F40" s="44"/>
      <c r="G40" s="344"/>
      <c r="H40" s="344"/>
      <c r="I40" s="7"/>
      <c r="J40" s="344"/>
      <c r="K40" s="344"/>
      <c r="L40" s="345"/>
      <c r="M40" s="344"/>
      <c r="N40" s="344"/>
      <c r="O40" s="344"/>
      <c r="P40" s="344"/>
      <c r="Q40" s="344"/>
      <c r="R40" s="344"/>
      <c r="S40" s="344"/>
      <c r="T40" s="344"/>
      <c r="W40" s="12" t="str">
        <f>IF(AND(W11="",W12="",W13="",W14="",W15="",W16="",W17="",W18="",W19="",W20="",W21="",W22="",W23="",W24="",W25="",W26="",W27="",W28="",W29="",W30="",W31="",W32="",W33="",W34="",W35="",W36="",W37="",W38=""),"CORRETTA","ERRATA")</f>
        <v>CORRETTA</v>
      </c>
    </row>
    <row r="41" spans="1:27" x14ac:dyDescent="0.25">
      <c r="C41" s="15"/>
      <c r="D41" s="15"/>
      <c r="E41" s="15"/>
      <c r="F41" s="15"/>
      <c r="G41" s="15"/>
      <c r="H41" s="7"/>
      <c r="I41" s="309"/>
      <c r="K41" s="5"/>
      <c r="W41" s="1498" t="s">
        <v>682</v>
      </c>
    </row>
    <row r="42" spans="1:27" x14ac:dyDescent="0.25">
      <c r="W42" s="1498"/>
    </row>
  </sheetData>
  <sheetProtection algorithmName="SHA-512" hashValue="pjkdRyzW/RfFmyHQtBZqeudh/OC1hN+MTLSJVYq6eGYg7tyxj0SgZwT/ZVgqL8aeRYsbn3k54TKeguOsVcFI3A==" saltValue="zohVeqUQdstYIVSsMjEKLw==" spinCount="100000" sheet="1" objects="1" scenarios="1"/>
  <protectedRanges>
    <protectedRange algorithmName="SHA-512" hashValue="lxTMzjA0/owD8bJE9er1wKvPasdvZPm9cItVJwDKIBnegqdXdBG/6SB3x7gJDHdXt852V8Bgi24p4ssVGJEQsg==" saltValue="F0d+l1ZHMPadC539+4AstA==" spinCount="100000" sqref="E4 B11:U38" name="OPE"/>
  </protectedRanges>
  <mergeCells count="25">
    <mergeCell ref="W41:W42"/>
    <mergeCell ref="Z38:AA38"/>
    <mergeCell ref="Z28:AA28"/>
    <mergeCell ref="Z29:AA29"/>
    <mergeCell ref="Z30:AA30"/>
    <mergeCell ref="Z31:AA31"/>
    <mergeCell ref="Z32:AA32"/>
    <mergeCell ref="Z27:AA27"/>
    <mergeCell ref="Z21:AA21"/>
    <mergeCell ref="Z15:AA15"/>
    <mergeCell ref="Z17:AA17"/>
    <mergeCell ref="Z18:AA18"/>
    <mergeCell ref="Z19:AA19"/>
    <mergeCell ref="Z25:AA25"/>
    <mergeCell ref="Z26:AA26"/>
    <mergeCell ref="Z20:AA20"/>
    <mergeCell ref="Z16:AA16"/>
    <mergeCell ref="Z22:AA22"/>
    <mergeCell ref="Z23:AA23"/>
    <mergeCell ref="Z24:AA24"/>
    <mergeCell ref="Z13:AA13"/>
    <mergeCell ref="Z10:AA10"/>
    <mergeCell ref="Z11:AA11"/>
    <mergeCell ref="Z12:AA12"/>
    <mergeCell ref="Z14:AA14"/>
  </mergeCells>
  <phoneticPr fontId="6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custom" showInputMessage="1" showErrorMessage="1" errorTitle="ERRORE" error="Documento già firmato da OPE. Per modificare togliere firma OPE" xr:uid="{00000000-0002-0000-0400-000000000000}">
          <x14:formula1>
            <xm:f>IF('FIRME-CONTROLLO DATI'!$J$23="",TRUE,FALSE)</xm:f>
          </x14:formula1>
          <xm:sqref>B11:U38</xm:sqref>
        </x14:dataValidation>
        <x14:dataValidation type="list" showInputMessage="1" showErrorMessage="1" errorTitle="ERRORE" error="Documento già firmato da OPE. Per modificare togliere firma OPE" xr:uid="{00000000-0002-0000-0400-000001000000}">
          <x14:formula1>
            <xm:f>IF('FIRME-CONTROLLO DATI'!$J$23="",$Y$11:$Y$38,FALSE)</xm:f>
          </x14:formula1>
          <xm:sqref>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1"/>
  <sheetViews>
    <sheetView view="pageBreakPreview" zoomScaleNormal="100" zoomScaleSheetLayoutView="100" workbookViewId="0">
      <selection activeCell="K31" sqref="K31"/>
    </sheetView>
  </sheetViews>
  <sheetFormatPr defaultRowHeight="15" x14ac:dyDescent="0.25"/>
  <cols>
    <col min="1" max="1" width="16.85546875" style="1" customWidth="1"/>
    <col min="2" max="2" width="12" style="1" customWidth="1"/>
    <col min="3" max="3" width="11.85546875" style="1" customWidth="1"/>
    <col min="4" max="4" width="10.85546875" style="1" customWidth="1"/>
    <col min="5" max="5" width="13.140625" style="1" customWidth="1"/>
    <col min="6" max="6" width="11.28515625" style="1" customWidth="1"/>
    <col min="7" max="7" width="13.85546875" style="1" customWidth="1"/>
    <col min="8" max="8" width="12.28515625" style="1" customWidth="1"/>
    <col min="9" max="9" width="13.5703125" style="1" customWidth="1"/>
    <col min="10" max="10" width="16.140625" style="1" customWidth="1"/>
    <col min="11" max="11" width="10.85546875" style="1" customWidth="1"/>
    <col min="12" max="12" width="10.7109375" style="1" customWidth="1"/>
    <col min="13" max="13" width="10.5703125" style="1" customWidth="1"/>
    <col min="14" max="14" width="12.7109375" style="1" customWidth="1"/>
    <col min="15" max="15" width="12.140625" style="1" customWidth="1"/>
    <col min="16" max="16" width="13.140625" style="1" customWidth="1"/>
    <col min="17" max="17" width="14.140625" style="1" customWidth="1"/>
    <col min="18" max="19" width="11.5703125" style="1" customWidth="1"/>
    <col min="20" max="20" width="11.140625" style="1" customWidth="1"/>
    <col min="21" max="21" width="14.42578125" style="1" customWidth="1"/>
    <col min="22" max="24" width="9.140625" style="1"/>
    <col min="25" max="25" width="14.7109375" style="1" bestFit="1" customWidth="1"/>
    <col min="26" max="16384" width="9.140625" style="1"/>
  </cols>
  <sheetData>
    <row r="1" spans="1:21" s="47" customFormat="1" ht="25.5" customHeight="1" x14ac:dyDescent="0.2">
      <c r="A1" s="1565" t="s">
        <v>241</v>
      </c>
      <c r="B1" s="1565"/>
      <c r="C1" s="1565"/>
      <c r="D1" s="1565"/>
      <c r="E1" s="1565"/>
      <c r="F1" s="1555" t="s">
        <v>748</v>
      </c>
      <c r="G1" s="1555"/>
      <c r="H1" s="1555"/>
      <c r="I1" s="1555"/>
      <c r="J1" s="1555"/>
      <c r="K1" s="1555"/>
      <c r="L1" s="1555"/>
      <c r="M1" s="1555"/>
      <c r="N1" s="1549" t="s">
        <v>242</v>
      </c>
      <c r="O1" s="1549"/>
      <c r="P1" s="45" t="s">
        <v>243</v>
      </c>
      <c r="Q1" s="1549" t="s">
        <v>244</v>
      </c>
      <c r="R1" s="1549"/>
      <c r="S1" s="1549" t="s">
        <v>245</v>
      </c>
      <c r="T1" s="1549"/>
      <c r="U1" s="46"/>
    </row>
    <row r="2" spans="1:21" s="47" customFormat="1" ht="25.5" customHeight="1" x14ac:dyDescent="0.2">
      <c r="A2" s="1565"/>
      <c r="B2" s="1565"/>
      <c r="C2" s="1565"/>
      <c r="D2" s="1565"/>
      <c r="E2" s="1565"/>
      <c r="F2" s="1555"/>
      <c r="G2" s="1555"/>
      <c r="H2" s="1555"/>
      <c r="I2" s="1555"/>
      <c r="J2" s="1555"/>
      <c r="K2" s="1555"/>
      <c r="L2" s="1555"/>
      <c r="M2" s="1555"/>
      <c r="N2" s="1550" t="s">
        <v>246</v>
      </c>
      <c r="O2" s="1551"/>
      <c r="P2" s="45">
        <v>8</v>
      </c>
      <c r="Q2" s="1549" t="s">
        <v>739</v>
      </c>
      <c r="R2" s="1549"/>
      <c r="S2" s="1552">
        <v>43605</v>
      </c>
      <c r="T2" s="1552"/>
      <c r="U2" s="48"/>
    </row>
    <row r="3" spans="1:21" ht="15.75" customHeight="1" thickBot="1" x14ac:dyDescent="0.3"/>
    <row r="4" spans="1:21" ht="15.75" thickBot="1" x14ac:dyDescent="0.3">
      <c r="A4" s="1499" t="s">
        <v>184</v>
      </c>
      <c r="B4" s="1500"/>
      <c r="C4" s="1500"/>
      <c r="D4" s="1500"/>
      <c r="E4" s="1500"/>
      <c r="F4" s="1501"/>
      <c r="H4" s="1499" t="s">
        <v>8</v>
      </c>
      <c r="I4" s="1501"/>
      <c r="M4" s="1562">
        <f>'dati_TRASF AMPEROMETRICI'!E11</f>
        <v>0.25</v>
      </c>
      <c r="N4" s="1564"/>
      <c r="O4" s="1562">
        <f>'dati_TRASF AMPEROMETRICI'!G11</f>
        <v>1</v>
      </c>
      <c r="P4" s="1563"/>
      <c r="R4" s="1562">
        <f>'dati_TRASF VOLTMETRICI'!E11</f>
        <v>0.25</v>
      </c>
      <c r="S4" s="1564"/>
      <c r="T4" s="1562">
        <f>'dati_TRASF VOLTMETRICI'!G11</f>
        <v>1</v>
      </c>
      <c r="U4" s="1563"/>
    </row>
    <row r="5" spans="1:21" ht="16.5" thickBot="1" x14ac:dyDescent="0.3">
      <c r="A5" s="1505" t="s">
        <v>1076</v>
      </c>
      <c r="B5" s="1506"/>
      <c r="C5" s="1502" t="str">
        <f>IF('DATI INGRESSO'!D5="X","Rapporto di ispezione ELETTRONICO","Rapporto di ispezione CARTACEO")</f>
        <v>Rapporto di ispezione ELETTRONICO</v>
      </c>
      <c r="D5" s="1503"/>
      <c r="E5" s="1503"/>
      <c r="F5" s="1504"/>
      <c r="H5" s="20" t="s">
        <v>346</v>
      </c>
      <c r="I5" s="50" t="str">
        <f>'DATI INGRESSO'!H188</f>
        <v>C</v>
      </c>
      <c r="L5" s="53" t="s">
        <v>352</v>
      </c>
      <c r="M5" s="54" t="s">
        <v>356</v>
      </c>
      <c r="N5" s="55" t="s">
        <v>357</v>
      </c>
      <c r="O5" s="54" t="s">
        <v>356</v>
      </c>
      <c r="P5" s="56" t="s">
        <v>357</v>
      </c>
      <c r="Q5" s="53" t="s">
        <v>360</v>
      </c>
      <c r="R5" s="54" t="s">
        <v>358</v>
      </c>
      <c r="S5" s="55" t="s">
        <v>359</v>
      </c>
      <c r="T5" s="54" t="s">
        <v>358</v>
      </c>
      <c r="U5" s="56" t="s">
        <v>359</v>
      </c>
    </row>
    <row r="6" spans="1:21" ht="15.75" customHeight="1" x14ac:dyDescent="0.35">
      <c r="A6" s="1505" t="s">
        <v>1077</v>
      </c>
      <c r="B6" s="1506"/>
      <c r="C6" s="1502" t="str">
        <f>IF('DATI INGRESSO'!D17="X","SI","NO")</f>
        <v>SI</v>
      </c>
      <c r="D6" s="1503"/>
      <c r="E6" s="1503"/>
      <c r="F6" s="1504"/>
      <c r="H6" s="57" t="s">
        <v>344</v>
      </c>
      <c r="I6" s="49">
        <f>'DATI INGRESSO'!H192</f>
        <v>5</v>
      </c>
      <c r="L6" s="59">
        <f>'dati_TRASF AMPEROMETRICI'!B16</f>
        <v>0.05</v>
      </c>
      <c r="M6" s="60">
        <f>'dati_TRASF AMPEROMETRICI'!D16</f>
        <v>5.0000000000000001E-4</v>
      </c>
      <c r="N6" s="61">
        <f>'dati_TRASF AMPEROMETRICI'!E16</f>
        <v>0.01</v>
      </c>
      <c r="O6" s="62">
        <f>'dati_TRASF AMPEROMETRICI'!F16</f>
        <v>5.0000000000000001E-4</v>
      </c>
      <c r="P6" s="63">
        <f>'dati_TRASF AMPEROMETRICI'!G16</f>
        <v>0.01</v>
      </c>
      <c r="Q6" s="59">
        <f>'dati_TRASF VOLTMETRICI'!B16</f>
        <v>0.8</v>
      </c>
      <c r="R6" s="60">
        <f>'dati_TRASF VOLTMETRICI'!D16</f>
        <v>1E-3</v>
      </c>
      <c r="S6" s="61">
        <f>'dati_TRASF VOLTMETRICI'!E16</f>
        <v>0.13</v>
      </c>
      <c r="T6" s="60">
        <f>'dati_TRASF VOLTMETRICI'!F16</f>
        <v>1E-3</v>
      </c>
      <c r="U6" s="64">
        <f>'dati_TRASF VOLTMETRICI'!G16</f>
        <v>0.13</v>
      </c>
    </row>
    <row r="7" spans="1:21" ht="15.75" customHeight="1" x14ac:dyDescent="0.35">
      <c r="A7" s="1505" t="s">
        <v>1078</v>
      </c>
      <c r="B7" s="1506"/>
      <c r="C7" s="1502" t="str">
        <f>IF('DATI INGRESSO'!D20="X","NO","SI")</f>
        <v>SI</v>
      </c>
      <c r="D7" s="1503"/>
      <c r="E7" s="1503"/>
      <c r="F7" s="1504"/>
      <c r="H7" s="57" t="s">
        <v>31</v>
      </c>
      <c r="I7" s="49">
        <f>'DATI INGRESSO'!H193</f>
        <v>0.05</v>
      </c>
      <c r="L7" s="65">
        <f>'dati_TRASF AMPEROMETRICI'!B17</f>
        <v>0.2</v>
      </c>
      <c r="M7" s="66">
        <f>'dati_TRASF AMPEROMETRICI'!D17</f>
        <v>4.0000000000000002E-4</v>
      </c>
      <c r="N7" s="67">
        <f>'dati_TRASF AMPEROMETRICI'!E17</f>
        <v>0.02</v>
      </c>
      <c r="O7" s="66">
        <f>'dati_TRASF AMPEROMETRICI'!F17</f>
        <v>4.0000000000000002E-4</v>
      </c>
      <c r="P7" s="68">
        <f>'dati_TRASF AMPEROMETRICI'!G17</f>
        <v>0.02</v>
      </c>
      <c r="Q7" s="65">
        <f>'dati_TRASF VOLTMETRICI'!B17</f>
        <v>1</v>
      </c>
      <c r="R7" s="66">
        <f>'dati_TRASF VOLTMETRICI'!D17</f>
        <v>1.1000000000000001E-3</v>
      </c>
      <c r="S7" s="67">
        <f>'dati_TRASF VOLTMETRICI'!E17</f>
        <v>0.14000000000000001</v>
      </c>
      <c r="T7" s="66">
        <f>'dati_TRASF VOLTMETRICI'!F17</f>
        <v>1.1000000000000001E-3</v>
      </c>
      <c r="U7" s="68">
        <f>'dati_TRASF VOLTMETRICI'!G17</f>
        <v>0.14000000000000001</v>
      </c>
    </row>
    <row r="8" spans="1:21" ht="18" customHeight="1" x14ac:dyDescent="0.35">
      <c r="A8" s="1505" t="s">
        <v>1220</v>
      </c>
      <c r="B8" s="1506"/>
      <c r="C8" s="1502" t="str">
        <f>IF('DATI INGRESSO'!F50="X","PRIMA VERIFICA",IF('DATI INGRESSO'!I50="X","VERIFICA PERIODICA",IF('DATI INGRESSO'!L50="X","VERIFICA STRAORDINARIA","MANCA TIPOLOGIA DI VERIFICA")))</f>
        <v>VERIFICA PERIODICA</v>
      </c>
      <c r="D8" s="1503"/>
      <c r="E8" s="1503"/>
      <c r="F8" s="1504"/>
      <c r="H8" s="57" t="s">
        <v>343</v>
      </c>
      <c r="I8" s="49">
        <f>'DATI INGRESSO'!H195</f>
        <v>5</v>
      </c>
      <c r="L8" s="65">
        <f>'dati_TRASF AMPEROMETRICI'!B18</f>
        <v>1</v>
      </c>
      <c r="M8" s="66">
        <f>'dati_TRASF AMPEROMETRICI'!D18</f>
        <v>2.9999999999999997E-4</v>
      </c>
      <c r="N8" s="67">
        <f>'dati_TRASF AMPEROMETRICI'!E18</f>
        <v>0.03</v>
      </c>
      <c r="O8" s="66">
        <f>'dati_TRASF AMPEROMETRICI'!F18</f>
        <v>2.9999999999999997E-4</v>
      </c>
      <c r="P8" s="68">
        <f>'dati_TRASF AMPEROMETRICI'!G18</f>
        <v>0.03</v>
      </c>
      <c r="Q8" s="65">
        <f>'dati_TRASF VOLTMETRICI'!B18</f>
        <v>1.2</v>
      </c>
      <c r="R8" s="66">
        <f>'dati_TRASF VOLTMETRICI'!D18</f>
        <v>1.1999999999999999E-3</v>
      </c>
      <c r="S8" s="67">
        <f>'dati_TRASF VOLTMETRICI'!E18</f>
        <v>0.15</v>
      </c>
      <c r="T8" s="66">
        <f>'dati_TRASF VOLTMETRICI'!F18</f>
        <v>1.1999999999999999E-3</v>
      </c>
      <c r="U8" s="68">
        <f>'dati_TRASF VOLTMETRICI'!G18</f>
        <v>0.15</v>
      </c>
    </row>
    <row r="9" spans="1:21" ht="18" customHeight="1" x14ac:dyDescent="0.35">
      <c r="A9" s="1510" t="s">
        <v>1079</v>
      </c>
      <c r="B9" s="1511"/>
      <c r="C9" s="1514" t="str">
        <f>'FIRME-CONTROLLO DATI'!J39</f>
        <v>Rapporto di ispezione in fase di redazione</v>
      </c>
      <c r="D9" s="1515"/>
      <c r="E9" s="1515"/>
      <c r="F9" s="1516"/>
      <c r="H9" s="57" t="s">
        <v>597</v>
      </c>
      <c r="I9" s="49">
        <f>'DATI INGRESSO'!H196</f>
        <v>5</v>
      </c>
      <c r="L9" s="65">
        <f>'dati_TRASF AMPEROMETRICI'!B19</f>
        <v>1.2</v>
      </c>
      <c r="M9" s="66">
        <f>'dati_TRASF AMPEROMETRICI'!D19</f>
        <v>1E-4</v>
      </c>
      <c r="N9" s="67">
        <f>'dati_TRASF AMPEROMETRICI'!E19</f>
        <v>0.04</v>
      </c>
      <c r="O9" s="66">
        <f>'dati_TRASF AMPEROMETRICI'!F19</f>
        <v>1E-4</v>
      </c>
      <c r="P9" s="68">
        <f>'dati_TRASF AMPEROMETRICI'!G19</f>
        <v>0.04</v>
      </c>
      <c r="Q9" s="65">
        <f>'dati_TRASF VOLTMETRICI'!B19</f>
        <v>0</v>
      </c>
      <c r="R9" s="66">
        <f>'dati_TRASF VOLTMETRICI'!D19</f>
        <v>0</v>
      </c>
      <c r="S9" s="67">
        <f>'dati_TRASF VOLTMETRICI'!E19</f>
        <v>0</v>
      </c>
      <c r="T9" s="66">
        <f>'dati_TRASF VOLTMETRICI'!F19</f>
        <v>0</v>
      </c>
      <c r="U9" s="68">
        <f>'dati_TRASF VOLTMETRICI'!G19</f>
        <v>0</v>
      </c>
    </row>
    <row r="10" spans="1:21" ht="15.75" customHeight="1" thickBot="1" x14ac:dyDescent="0.4">
      <c r="A10" s="1512"/>
      <c r="B10" s="1513"/>
      <c r="C10" s="1517"/>
      <c r="D10" s="1518"/>
      <c r="E10" s="1518"/>
      <c r="F10" s="1519"/>
      <c r="H10" s="69" t="s">
        <v>598</v>
      </c>
      <c r="I10" s="70">
        <f>'DATI INGRESSO'!H197</f>
        <v>5</v>
      </c>
      <c r="L10" s="65">
        <f>'dati_TRASF AMPEROMETRICI'!B20</f>
        <v>0</v>
      </c>
      <c r="M10" s="66">
        <f>'dati_TRASF AMPEROMETRICI'!D20</f>
        <v>0</v>
      </c>
      <c r="N10" s="67">
        <f>'dati_TRASF AMPEROMETRICI'!E20</f>
        <v>0</v>
      </c>
      <c r="O10" s="66">
        <f>'dati_TRASF AMPEROMETRICI'!F20</f>
        <v>0</v>
      </c>
      <c r="P10" s="68">
        <f>'dati_TRASF AMPEROMETRICI'!G20</f>
        <v>0</v>
      </c>
      <c r="Q10" s="65">
        <f>'dati_TRASF VOLTMETRICI'!B20</f>
        <v>0</v>
      </c>
      <c r="R10" s="66">
        <f>'dati_TRASF VOLTMETRICI'!D20</f>
        <v>0</v>
      </c>
      <c r="S10" s="67">
        <f>'dati_TRASF VOLTMETRICI'!E20</f>
        <v>0</v>
      </c>
      <c r="T10" s="66">
        <f>'dati_TRASF VOLTMETRICI'!F20</f>
        <v>0</v>
      </c>
      <c r="U10" s="68">
        <f>'dati_TRASF VOLTMETRICI'!G20</f>
        <v>0</v>
      </c>
    </row>
    <row r="11" spans="1:21" ht="15.75" customHeight="1" thickBot="1" x14ac:dyDescent="0.3">
      <c r="A11" s="1520" t="s">
        <v>1221</v>
      </c>
      <c r="B11" s="1521"/>
      <c r="C11" s="1514" t="str">
        <f>'FIRME-CONTROLLO DATI'!F5</f>
        <v>PRESENZA ERRORI OPEE: Non firmare rapporto ispezione</v>
      </c>
      <c r="D11" s="1515"/>
      <c r="E11" s="1515"/>
      <c r="F11" s="1516"/>
      <c r="L11" s="71">
        <f>'dati_TRASF AMPEROMETRICI'!B21</f>
        <v>0</v>
      </c>
      <c r="M11" s="72">
        <f>'dati_TRASF AMPEROMETRICI'!D21</f>
        <v>0</v>
      </c>
      <c r="N11" s="73">
        <f>'dati_TRASF AMPEROMETRICI'!E21</f>
        <v>0</v>
      </c>
      <c r="O11" s="72">
        <f>'dati_TRASF AMPEROMETRICI'!F21</f>
        <v>0</v>
      </c>
      <c r="P11" s="74">
        <f>'dati_TRASF AMPEROMETRICI'!G21</f>
        <v>0</v>
      </c>
      <c r="Q11" s="71">
        <f>'dati_TRASF VOLTMETRICI'!B21</f>
        <v>0</v>
      </c>
      <c r="R11" s="72">
        <f>'dati_TRASF VOLTMETRICI'!D21</f>
        <v>0</v>
      </c>
      <c r="S11" s="73">
        <f>'dati_TRASF VOLTMETRICI'!E21</f>
        <v>0</v>
      </c>
      <c r="T11" s="72">
        <f>'dati_TRASF VOLTMETRICI'!F21</f>
        <v>0</v>
      </c>
      <c r="U11" s="74">
        <f>'dati_TRASF VOLTMETRICI'!G21</f>
        <v>0</v>
      </c>
    </row>
    <row r="12" spans="1:21" ht="15.75" customHeight="1" thickBot="1" x14ac:dyDescent="0.3">
      <c r="A12" s="1522"/>
      <c r="B12" s="1523"/>
      <c r="C12" s="1517"/>
      <c r="D12" s="1518"/>
      <c r="E12" s="1518"/>
      <c r="F12" s="1519"/>
      <c r="H12" s="675" t="s">
        <v>355</v>
      </c>
      <c r="I12" s="676"/>
      <c r="J12" s="677"/>
    </row>
    <row r="13" spans="1:21" ht="15.75" customHeight="1" thickBot="1" x14ac:dyDescent="0.3">
      <c r="A13" s="1520" t="s">
        <v>1222</v>
      </c>
      <c r="B13" s="1521"/>
      <c r="C13" s="1514" t="str">
        <f>'FIRME-CONTROLLO DATI'!F7</f>
        <v>MANCA FIRMA ARQ: Non elaborare rapporto ispezione</v>
      </c>
      <c r="D13" s="1515"/>
      <c r="E13" s="1515"/>
      <c r="F13" s="1516"/>
      <c r="H13" s="20"/>
      <c r="I13" s="705" t="s">
        <v>9</v>
      </c>
      <c r="J13" s="22" t="s">
        <v>10</v>
      </c>
      <c r="L13" s="53" t="s">
        <v>353</v>
      </c>
      <c r="M13" s="54" t="s">
        <v>356</v>
      </c>
      <c r="N13" s="55" t="s">
        <v>357</v>
      </c>
      <c r="O13" s="54" t="s">
        <v>356</v>
      </c>
      <c r="P13" s="56" t="s">
        <v>357</v>
      </c>
      <c r="Q13" s="53" t="s">
        <v>361</v>
      </c>
      <c r="R13" s="54" t="s">
        <v>358</v>
      </c>
      <c r="S13" s="55" t="s">
        <v>359</v>
      </c>
      <c r="T13" s="54" t="s">
        <v>358</v>
      </c>
      <c r="U13" s="56" t="s">
        <v>359</v>
      </c>
    </row>
    <row r="14" spans="1:21" ht="15.75" customHeight="1" x14ac:dyDescent="0.25">
      <c r="A14" s="1522"/>
      <c r="B14" s="1523"/>
      <c r="C14" s="1517"/>
      <c r="D14" s="1518"/>
      <c r="E14" s="1518"/>
      <c r="F14" s="1519"/>
      <c r="H14" s="58" t="s">
        <v>365</v>
      </c>
      <c r="I14" s="705" t="str">
        <f>IF('DATI INGRESSO'!O142="X","1",IF('DATI INGRESSO'!O143="X","2",IF('DATI INGRESSO'!O144="X","3","-")))</f>
        <v>3</v>
      </c>
      <c r="J14" s="22" t="str">
        <f>IF('DATI INGRESSO'!O160="X","1",IF('DATI INGRESSO'!O161="X","2",IF('DATI INGRESSO'!O162="X","3","-")))</f>
        <v>3</v>
      </c>
      <c r="L14" s="59">
        <f>'dati_TRASF AMPEROMETRICI'!B38</f>
        <v>0.05</v>
      </c>
      <c r="M14" s="60">
        <f>'dati_TRASF AMPEROMETRICI'!D38</f>
        <v>5.0000000000000001E-4</v>
      </c>
      <c r="N14" s="61">
        <f>'dati_TRASF AMPEROMETRICI'!E38</f>
        <v>0.01</v>
      </c>
      <c r="O14" s="62">
        <f>'dati_TRASF AMPEROMETRICI'!F38</f>
        <v>5.0000000000000001E-4</v>
      </c>
      <c r="P14" s="63">
        <f>'dati_TRASF AMPEROMETRICI'!G38</f>
        <v>0.01</v>
      </c>
      <c r="Q14" s="59">
        <f>'dati_TRASF VOLTMETRICI'!B38</f>
        <v>0.8</v>
      </c>
      <c r="R14" s="60">
        <f>'dati_TRASF VOLTMETRICI'!D38</f>
        <v>1E-3</v>
      </c>
      <c r="S14" s="61">
        <f>'dati_TRASF VOLTMETRICI'!E38</f>
        <v>0.13</v>
      </c>
      <c r="T14" s="60">
        <f>'dati_TRASF VOLTMETRICI'!F38</f>
        <v>1E-3</v>
      </c>
      <c r="U14" s="64">
        <f>'dati_TRASF VOLTMETRICI'!G38</f>
        <v>0.13</v>
      </c>
    </row>
    <row r="15" spans="1:21" ht="15.75" customHeight="1" x14ac:dyDescent="0.25">
      <c r="A15" s="1505" t="s">
        <v>1080</v>
      </c>
      <c r="B15" s="1506"/>
      <c r="C15" s="1502" t="str">
        <f>IF('ELABORAZIONE ERRORI'!W40="CORRETTA","OK","NO")</f>
        <v>OK</v>
      </c>
      <c r="D15" s="1503"/>
      <c r="E15" s="1503"/>
      <c r="F15" s="1504"/>
      <c r="H15" s="58" t="s">
        <v>366</v>
      </c>
      <c r="I15" s="705" t="str">
        <f>'DATI INGRESSO'!O146</f>
        <v>0,5S</v>
      </c>
      <c r="J15" s="22" t="str">
        <f>'DATI INGRESSO'!O164</f>
        <v>0,2</v>
      </c>
      <c r="L15" s="65">
        <f>'dati_TRASF AMPEROMETRICI'!B39</f>
        <v>0.2</v>
      </c>
      <c r="M15" s="66">
        <f>'dati_TRASF AMPEROMETRICI'!D39</f>
        <v>4.0000000000000002E-4</v>
      </c>
      <c r="N15" s="67">
        <f>'dati_TRASF AMPEROMETRICI'!E39</f>
        <v>0.02</v>
      </c>
      <c r="O15" s="66">
        <f>'dati_TRASF AMPEROMETRICI'!F39</f>
        <v>4.0000000000000002E-4</v>
      </c>
      <c r="P15" s="68">
        <f>'dati_TRASF AMPEROMETRICI'!G39</f>
        <v>0.02</v>
      </c>
      <c r="Q15" s="65">
        <f>'dati_TRASF VOLTMETRICI'!B39</f>
        <v>1</v>
      </c>
      <c r="R15" s="66">
        <f>'dati_TRASF VOLTMETRICI'!D39</f>
        <v>1.1000000000000001E-3</v>
      </c>
      <c r="S15" s="67">
        <f>'dati_TRASF VOLTMETRICI'!E39</f>
        <v>0.14000000000000001</v>
      </c>
      <c r="T15" s="66">
        <f>'dati_TRASF VOLTMETRICI'!F39</f>
        <v>1.1000000000000001E-3</v>
      </c>
      <c r="U15" s="68">
        <f>'dati_TRASF VOLTMETRICI'!G39</f>
        <v>0.14000000000000001</v>
      </c>
    </row>
    <row r="16" spans="1:21" ht="15.75" customHeight="1" x14ac:dyDescent="0.25">
      <c r="A16" s="1505" t="s">
        <v>1081</v>
      </c>
      <c r="B16" s="1506"/>
      <c r="C16" s="1502" t="str">
        <f>IF('DATI INGRESSO'!H143="X","DIRETTA",IF('DATI INGRESSO'!H146="X","SEMIDIRETTA/INDIRETTA","ERRORE: Manca tipo di inserzione"))</f>
        <v>SEMIDIRETTA/INDIRETTA</v>
      </c>
      <c r="D16" s="1503"/>
      <c r="E16" s="1503"/>
      <c r="F16" s="1504"/>
      <c r="H16" s="58" t="s">
        <v>347</v>
      </c>
      <c r="I16" s="705" t="str">
        <f>CONCATENATE('DATI INGRESSO'!O149," / ",'DATI INGRESSO'!O152)</f>
        <v>150 / 5</v>
      </c>
      <c r="J16" s="371" t="str">
        <f>CONCATENATE('DATI INGRESSO'!O167," / ",'DATI INGRESSO'!O171)</f>
        <v>20000 / 100</v>
      </c>
      <c r="L16" s="65">
        <f>'dati_TRASF AMPEROMETRICI'!B40</f>
        <v>1</v>
      </c>
      <c r="M16" s="66">
        <f>'dati_TRASF AMPEROMETRICI'!D40</f>
        <v>2.9999999999999997E-4</v>
      </c>
      <c r="N16" s="67">
        <f>'dati_TRASF AMPEROMETRICI'!E40</f>
        <v>0.03</v>
      </c>
      <c r="O16" s="66">
        <f>'dati_TRASF AMPEROMETRICI'!F40</f>
        <v>2.9999999999999997E-4</v>
      </c>
      <c r="P16" s="68">
        <f>'dati_TRASF AMPEROMETRICI'!G40</f>
        <v>0.03</v>
      </c>
      <c r="Q16" s="65">
        <f>'dati_TRASF VOLTMETRICI'!B40</f>
        <v>1.2</v>
      </c>
      <c r="R16" s="66">
        <f>'dati_TRASF VOLTMETRICI'!D40</f>
        <v>1.1999999999999999E-3</v>
      </c>
      <c r="S16" s="67">
        <f>'dati_TRASF VOLTMETRICI'!E40</f>
        <v>0.15</v>
      </c>
      <c r="T16" s="66">
        <f>'dati_TRASF VOLTMETRICI'!F40</f>
        <v>1.1999999999999999E-3</v>
      </c>
      <c r="U16" s="68">
        <f>'dati_TRASF VOLTMETRICI'!G40</f>
        <v>0.15</v>
      </c>
    </row>
    <row r="17" spans="1:21" ht="15.75" customHeight="1" x14ac:dyDescent="0.25">
      <c r="A17" s="1505" t="s">
        <v>1082</v>
      </c>
      <c r="B17" s="1506"/>
      <c r="C17" s="1502" t="str">
        <f>IF('DATI INGRESSO'!H149="X","SI","NO")</f>
        <v>SI</v>
      </c>
      <c r="D17" s="1503"/>
      <c r="E17" s="1503"/>
      <c r="F17" s="1504"/>
      <c r="H17" s="58" t="s">
        <v>348</v>
      </c>
      <c r="I17" s="705" t="str">
        <f>IF('DATI INGRESSO'!O155&lt;&gt;"",CONCATENATE('DATI INGRESSO'!O155," VA"),"Non nota")</f>
        <v>5 VA</v>
      </c>
      <c r="J17" s="22" t="str">
        <f>IF('DATI INGRESSO'!O175&lt;&gt;"",CONCATENATE('DATI INGRESSO'!O175," VA"),"Non nota")</f>
        <v>3 VA</v>
      </c>
      <c r="L17" s="65">
        <f>'dati_TRASF AMPEROMETRICI'!B41</f>
        <v>1.2</v>
      </c>
      <c r="M17" s="66">
        <f>'dati_TRASF AMPEROMETRICI'!D41</f>
        <v>1E-4</v>
      </c>
      <c r="N17" s="67">
        <f>'dati_TRASF AMPEROMETRICI'!E41</f>
        <v>0.04</v>
      </c>
      <c r="O17" s="66">
        <f>'dati_TRASF AMPEROMETRICI'!F41</f>
        <v>1E-4</v>
      </c>
      <c r="P17" s="68">
        <f>'dati_TRASF AMPEROMETRICI'!G41</f>
        <v>0.04</v>
      </c>
      <c r="Q17" s="65">
        <f>'dati_TRASF VOLTMETRICI'!B41</f>
        <v>0</v>
      </c>
      <c r="R17" s="66">
        <f>'dati_TRASF VOLTMETRICI'!D41</f>
        <v>0</v>
      </c>
      <c r="S17" s="67">
        <f>'dati_TRASF VOLTMETRICI'!E41</f>
        <v>0</v>
      </c>
      <c r="T17" s="66">
        <f>'dati_TRASF VOLTMETRICI'!F41</f>
        <v>0</v>
      </c>
      <c r="U17" s="68">
        <f>'dati_TRASF VOLTMETRICI'!G41</f>
        <v>0</v>
      </c>
    </row>
    <row r="18" spans="1:21" ht="15.75" customHeight="1" x14ac:dyDescent="0.25">
      <c r="A18" s="1505" t="s">
        <v>1083</v>
      </c>
      <c r="B18" s="1506"/>
      <c r="C18" s="1502" t="str">
        <f>IF('DATI INGRESSO'!H152="X","PRIMARIO",IF('DATI INGRESSO'!H155="X","SECONDARIO","Non eseguita prova di errore a carico REALE"))</f>
        <v>SECONDARIO</v>
      </c>
      <c r="D18" s="1503"/>
      <c r="E18" s="1503"/>
      <c r="F18" s="1504"/>
      <c r="H18" s="58" t="s">
        <v>349</v>
      </c>
      <c r="I18" s="705" t="str">
        <f>IF('DATI INGRESSO'!O156&lt;&gt;"",CONCATENATE('DATI INGRESSO'!O156," VA"),"Non nota")</f>
        <v>1,56 VA</v>
      </c>
      <c r="J18" s="22" t="str">
        <f>IF('DATI INGRESSO'!O176&lt;&gt;"",CONCATENATE('DATI INGRESSO'!O176," VA"),"Non nota")</f>
        <v>0,98 VA</v>
      </c>
      <c r="L18" s="65">
        <f>'dati_TRASF AMPEROMETRICI'!B42</f>
        <v>0</v>
      </c>
      <c r="M18" s="66">
        <f>'dati_TRASF AMPEROMETRICI'!D42</f>
        <v>0</v>
      </c>
      <c r="N18" s="67">
        <f>'dati_TRASF AMPEROMETRICI'!E42</f>
        <v>0</v>
      </c>
      <c r="O18" s="66">
        <f>'dati_TRASF AMPEROMETRICI'!F42</f>
        <v>0</v>
      </c>
      <c r="P18" s="68">
        <f>'dati_TRASF AMPEROMETRICI'!G42</f>
        <v>0</v>
      </c>
      <c r="Q18" s="65">
        <f>'dati_TRASF VOLTMETRICI'!B42</f>
        <v>0</v>
      </c>
      <c r="R18" s="66">
        <f>'dati_TRASF VOLTMETRICI'!D42</f>
        <v>0</v>
      </c>
      <c r="S18" s="67">
        <f>'dati_TRASF VOLTMETRICI'!E42</f>
        <v>0</v>
      </c>
      <c r="T18" s="66">
        <f>'dati_TRASF VOLTMETRICI'!F42</f>
        <v>0</v>
      </c>
      <c r="U18" s="68">
        <f>'dati_TRASF VOLTMETRICI'!G42</f>
        <v>0</v>
      </c>
    </row>
    <row r="19" spans="1:21" ht="15.75" customHeight="1" thickBot="1" x14ac:dyDescent="0.3">
      <c r="A19" s="1505" t="s">
        <v>1084</v>
      </c>
      <c r="B19" s="1506"/>
      <c r="C19" s="1502" t="str">
        <f>IF('DATI INGRESSO'!H158="X","PRIMARIO",IF('DATI INGRESSO'!H161="X","SECONDARIO","Non eseguita prova di errore a carico FITTIZIO"))</f>
        <v>SECONDARIO</v>
      </c>
      <c r="D19" s="1503"/>
      <c r="E19" s="1503"/>
      <c r="F19" s="1504"/>
      <c r="H19" s="58" t="s">
        <v>350</v>
      </c>
      <c r="I19" s="705" t="str">
        <f>IF('DATI INGRESSO'!O157&lt;&gt;"",CONCATENATE('DATI INGRESSO'!O157," VA"),"Non nota")</f>
        <v>1,62 VA</v>
      </c>
      <c r="J19" s="22" t="str">
        <f>IF('DATI INGRESSO'!O177&lt;&gt;"",CONCATENATE('DATI INGRESSO'!O177," VA"),"Non nota")</f>
        <v>0,96 VA</v>
      </c>
      <c r="L19" s="71">
        <f>'dati_TRASF AMPEROMETRICI'!B43</f>
        <v>0</v>
      </c>
      <c r="M19" s="72">
        <f>'dati_TRASF AMPEROMETRICI'!D43</f>
        <v>0</v>
      </c>
      <c r="N19" s="73">
        <f>'dati_TRASF AMPEROMETRICI'!E43</f>
        <v>0</v>
      </c>
      <c r="O19" s="72">
        <f>'dati_TRASF AMPEROMETRICI'!F43</f>
        <v>0</v>
      </c>
      <c r="P19" s="74">
        <f>'dati_TRASF AMPEROMETRICI'!G43</f>
        <v>0</v>
      </c>
      <c r="Q19" s="71">
        <f>'dati_TRASF VOLTMETRICI'!B43</f>
        <v>0</v>
      </c>
      <c r="R19" s="72">
        <f>'dati_TRASF VOLTMETRICI'!D43</f>
        <v>0</v>
      </c>
      <c r="S19" s="73">
        <f>'dati_TRASF VOLTMETRICI'!E43</f>
        <v>0</v>
      </c>
      <c r="T19" s="72">
        <f>'dati_TRASF VOLTMETRICI'!F43</f>
        <v>0</v>
      </c>
      <c r="U19" s="74">
        <f>'dati_TRASF VOLTMETRICI'!G43</f>
        <v>0</v>
      </c>
    </row>
    <row r="20" spans="1:21" ht="15.75" customHeight="1" thickBot="1" x14ac:dyDescent="0.3">
      <c r="A20" s="1505" t="s">
        <v>1085</v>
      </c>
      <c r="B20" s="1506"/>
      <c r="C20" s="1502">
        <f>'DATI INGRESSO'!H171</f>
        <v>17.600000000000001</v>
      </c>
      <c r="D20" s="1503"/>
      <c r="E20" s="1503"/>
      <c r="F20" s="1504"/>
      <c r="H20" s="58" t="s">
        <v>351</v>
      </c>
      <c r="I20" s="705" t="str">
        <f>IF('DATI INGRESSO'!O158&lt;&gt;"",CONCATENATE('DATI INGRESSO'!O158," VA"),"Non nota")</f>
        <v>1,61 VA</v>
      </c>
      <c r="J20" s="22" t="str">
        <f>IF('DATI INGRESSO'!O178&lt;&gt;"",CONCATENATE('DATI INGRESSO'!O178," VA"),"Non nota")</f>
        <v>0,97 VA</v>
      </c>
    </row>
    <row r="21" spans="1:21" ht="15.75" customHeight="1" thickBot="1" x14ac:dyDescent="0.3">
      <c r="A21" s="1527" t="s">
        <v>1086</v>
      </c>
      <c r="B21" s="1528"/>
      <c r="C21" s="1529" t="str">
        <f>IF('DATI INGRESSO'!H180="X","4FILI",IF('DATI INGRESSO'!H183="X","3FILI",IF('DATI INGRESSO'!H186="X","1FILO","ERRORE")))</f>
        <v>4FILI</v>
      </c>
      <c r="D21" s="1530"/>
      <c r="E21" s="1530"/>
      <c r="F21" s="1531"/>
      <c r="H21" s="58" t="s">
        <v>677</v>
      </c>
      <c r="I21" s="705" t="str">
        <f>IF(AND('DATI INGRESSO'!E837="",'DATI INGRESSO'!E838=""),"Non nota",IF('DATI INGRESSO'!E837="X","Misurata",IF('DATI INGRESSO'!E838="X","Da cert. preced.")))</f>
        <v>Da cert. preced.</v>
      </c>
      <c r="J21" s="22" t="str">
        <f>IF(AND('DATI INGRESSO'!E890="",'DATI INGRESSO'!E891=""),"Non nota",IF('DATI INGRESSO'!E890="X","Misurata",IF('DATI INGRESSO'!E891="X","Da cert. preced.")))</f>
        <v>Da cert. preced.</v>
      </c>
      <c r="L21" s="53" t="s">
        <v>354</v>
      </c>
      <c r="M21" s="54" t="s">
        <v>356</v>
      </c>
      <c r="N21" s="55" t="s">
        <v>357</v>
      </c>
      <c r="O21" s="54" t="s">
        <v>356</v>
      </c>
      <c r="P21" s="56" t="s">
        <v>357</v>
      </c>
      <c r="Q21" s="77" t="s">
        <v>362</v>
      </c>
      <c r="R21" s="54" t="s">
        <v>358</v>
      </c>
      <c r="S21" s="55" t="s">
        <v>359</v>
      </c>
      <c r="T21" s="54" t="s">
        <v>358</v>
      </c>
      <c r="U21" s="56" t="s">
        <v>359</v>
      </c>
    </row>
    <row r="22" spans="1:21" ht="15.75" customHeight="1" x14ac:dyDescent="0.25">
      <c r="H22" s="58" t="s">
        <v>1198</v>
      </c>
      <c r="I22" s="437">
        <f>IF('DATI INGRESSO'!$O$155&lt;&gt;"",IF('DATI INGRESSO'!O156="Non nota","Non nota",'DATI INGRESSO'!O156/'DATI INGRESSO'!$O$155),"Non nota")</f>
        <v>0.312</v>
      </c>
      <c r="J22" s="678">
        <f>IF('DATI INGRESSO'!$O$175&lt;&gt;"",IF('DATI INGRESSO'!O176="Non nota","Non nota",'DATI INGRESSO'!O176/'DATI INGRESSO'!$O$175),"Non nota")</f>
        <v>0.32666666666666666</v>
      </c>
      <c r="L22" s="59">
        <f>'dati_TRASF AMPEROMETRICI'!B60</f>
        <v>0.05</v>
      </c>
      <c r="M22" s="60">
        <f>'dati_TRASF AMPEROMETRICI'!D60</f>
        <v>5.0000000000000001E-4</v>
      </c>
      <c r="N22" s="61">
        <f>'dati_TRASF AMPEROMETRICI'!E60</f>
        <v>0.01</v>
      </c>
      <c r="O22" s="60">
        <f>'dati_TRASF AMPEROMETRICI'!F60</f>
        <v>5.0000000000000001E-4</v>
      </c>
      <c r="P22" s="64">
        <f>'dati_TRASF AMPEROMETRICI'!G60</f>
        <v>0.01</v>
      </c>
      <c r="Q22" s="82">
        <f>'dati_TRASF VOLTMETRICI'!B60</f>
        <v>0.8</v>
      </c>
      <c r="R22" s="60">
        <f>'dati_TRASF VOLTMETRICI'!D60</f>
        <v>1E-3</v>
      </c>
      <c r="S22" s="61">
        <f>'dati_TRASF VOLTMETRICI'!E60</f>
        <v>0.13</v>
      </c>
      <c r="T22" s="60">
        <f>'dati_TRASF VOLTMETRICI'!F60</f>
        <v>1E-3</v>
      </c>
      <c r="U22" s="64">
        <f>'dati_TRASF VOLTMETRICI'!G60</f>
        <v>0.13</v>
      </c>
    </row>
    <row r="23" spans="1:21" ht="15.75" customHeight="1" x14ac:dyDescent="0.25">
      <c r="H23" s="58" t="s">
        <v>1199</v>
      </c>
      <c r="I23" s="437">
        <f>IF('DATI INGRESSO'!$O$155&lt;&gt;"",IF('DATI INGRESSO'!O157="Non nota","Non nota",'DATI INGRESSO'!O157/'DATI INGRESSO'!$O$155),"Non nota")</f>
        <v>0.32400000000000001</v>
      </c>
      <c r="J23" s="678">
        <f>IF('DATI INGRESSO'!$O$175&lt;&gt;"",IF('DATI INGRESSO'!O177="Non nota","Non nota",'DATI INGRESSO'!O177/'DATI INGRESSO'!$O$175),"Non nota")</f>
        <v>0.32</v>
      </c>
      <c r="L23" s="65">
        <f>'dati_TRASF AMPEROMETRICI'!B61</f>
        <v>0.2</v>
      </c>
      <c r="M23" s="66">
        <f>'dati_TRASF AMPEROMETRICI'!D61</f>
        <v>4.0000000000000002E-4</v>
      </c>
      <c r="N23" s="67">
        <f>'dati_TRASF AMPEROMETRICI'!E61</f>
        <v>0.02</v>
      </c>
      <c r="O23" s="66">
        <f>'dati_TRASF AMPEROMETRICI'!F61</f>
        <v>4.0000000000000002E-4</v>
      </c>
      <c r="P23" s="68">
        <f>'dati_TRASF AMPEROMETRICI'!G61</f>
        <v>0.02</v>
      </c>
      <c r="Q23" s="83">
        <f>'dati_TRASF VOLTMETRICI'!B61</f>
        <v>1</v>
      </c>
      <c r="R23" s="66">
        <f>'dati_TRASF VOLTMETRICI'!D61</f>
        <v>1.1000000000000001E-3</v>
      </c>
      <c r="S23" s="67">
        <f>'dati_TRASF VOLTMETRICI'!E61</f>
        <v>0.14000000000000001</v>
      </c>
      <c r="T23" s="66">
        <f>'dati_TRASF VOLTMETRICI'!F61</f>
        <v>1.1000000000000001E-3</v>
      </c>
      <c r="U23" s="68">
        <f>'dati_TRASF VOLTMETRICI'!G61</f>
        <v>0.14000000000000001</v>
      </c>
    </row>
    <row r="24" spans="1:21" ht="15.75" customHeight="1" thickBot="1" x14ac:dyDescent="0.3">
      <c r="H24" s="75" t="s">
        <v>1200</v>
      </c>
      <c r="I24" s="679">
        <f>IF('DATI INGRESSO'!$O$155&lt;&gt;"",IF('DATI INGRESSO'!O158="Non nota","Non nota",'DATI INGRESSO'!O158/'DATI INGRESSO'!$O$155),"Non nota")</f>
        <v>0.32200000000000001</v>
      </c>
      <c r="J24" s="680">
        <f>IF('DATI INGRESSO'!$O$175&lt;&gt;"",IF('DATI INGRESSO'!O178="Non nota","Non nota",'DATI INGRESSO'!O178/'DATI INGRESSO'!$O$175),"Non nota")</f>
        <v>0.32333333333333331</v>
      </c>
      <c r="L24" s="65">
        <f>'dati_TRASF AMPEROMETRICI'!B62</f>
        <v>1</v>
      </c>
      <c r="M24" s="66">
        <f>'dati_TRASF AMPEROMETRICI'!D62</f>
        <v>2.9999999999999997E-4</v>
      </c>
      <c r="N24" s="67">
        <f>'dati_TRASF AMPEROMETRICI'!E62</f>
        <v>0.03</v>
      </c>
      <c r="O24" s="66">
        <f>'dati_TRASF AMPEROMETRICI'!F62</f>
        <v>2.9999999999999997E-4</v>
      </c>
      <c r="P24" s="68">
        <f>'dati_TRASF AMPEROMETRICI'!G62</f>
        <v>0.03</v>
      </c>
      <c r="Q24" s="83">
        <f>'dati_TRASF VOLTMETRICI'!B62</f>
        <v>1.2</v>
      </c>
      <c r="R24" s="66">
        <f>'dati_TRASF VOLTMETRICI'!D62</f>
        <v>1.1999999999999999E-3</v>
      </c>
      <c r="S24" s="67">
        <f>'dati_TRASF VOLTMETRICI'!E62</f>
        <v>0.15</v>
      </c>
      <c r="T24" s="66">
        <f>'dati_TRASF VOLTMETRICI'!F62</f>
        <v>1.1999999999999999E-3</v>
      </c>
      <c r="U24" s="68">
        <f>'dati_TRASF VOLTMETRICI'!G62</f>
        <v>0.15</v>
      </c>
    </row>
    <row r="25" spans="1:21" ht="15.75" customHeight="1" thickBot="1" x14ac:dyDescent="0.3">
      <c r="L25" s="65">
        <f>'dati_TRASF AMPEROMETRICI'!B63</f>
        <v>1.2</v>
      </c>
      <c r="M25" s="66">
        <f>'dati_TRASF AMPEROMETRICI'!D63</f>
        <v>1E-4</v>
      </c>
      <c r="N25" s="67">
        <f>'dati_TRASF AMPEROMETRICI'!E63</f>
        <v>0.04</v>
      </c>
      <c r="O25" s="66">
        <f>'dati_TRASF AMPEROMETRICI'!F63</f>
        <v>1E-4</v>
      </c>
      <c r="P25" s="68">
        <f>'dati_TRASF AMPEROMETRICI'!G63</f>
        <v>0.04</v>
      </c>
      <c r="Q25" s="83">
        <f>'dati_TRASF VOLTMETRICI'!B63</f>
        <v>0</v>
      </c>
      <c r="R25" s="66">
        <f>'dati_TRASF VOLTMETRICI'!D63</f>
        <v>0</v>
      </c>
      <c r="S25" s="67">
        <f>'dati_TRASF VOLTMETRICI'!E63</f>
        <v>0</v>
      </c>
      <c r="T25" s="66">
        <f>'dati_TRASF VOLTMETRICI'!F63</f>
        <v>0</v>
      </c>
      <c r="U25" s="68">
        <f>'dati_TRASF VOLTMETRICI'!G63</f>
        <v>0</v>
      </c>
    </row>
    <row r="26" spans="1:21" ht="15.75" customHeight="1" thickBot="1" x14ac:dyDescent="0.3">
      <c r="B26" s="1507" t="s">
        <v>678</v>
      </c>
      <c r="C26" s="1508"/>
      <c r="D26" s="1508"/>
      <c r="E26" s="1508"/>
      <c r="F26" s="1508"/>
      <c r="G26" s="1509"/>
      <c r="L26" s="65">
        <f>'dati_TRASF AMPEROMETRICI'!B64</f>
        <v>0</v>
      </c>
      <c r="M26" s="66">
        <f>'dati_TRASF AMPEROMETRICI'!D64</f>
        <v>0</v>
      </c>
      <c r="N26" s="67">
        <f>'dati_TRASF AMPEROMETRICI'!E64</f>
        <v>0</v>
      </c>
      <c r="O26" s="66">
        <f>'dati_TRASF AMPEROMETRICI'!F64</f>
        <v>0</v>
      </c>
      <c r="P26" s="68">
        <f>'dati_TRASF AMPEROMETRICI'!G64</f>
        <v>0</v>
      </c>
      <c r="Q26" s="83">
        <f>'dati_TRASF VOLTMETRICI'!B64</f>
        <v>0</v>
      </c>
      <c r="R26" s="66">
        <f>'dati_TRASF VOLTMETRICI'!D64</f>
        <v>0</v>
      </c>
      <c r="S26" s="67">
        <f>'dati_TRASF VOLTMETRICI'!E64</f>
        <v>0</v>
      </c>
      <c r="T26" s="66">
        <f>'dati_TRASF VOLTMETRICI'!F64</f>
        <v>0</v>
      </c>
      <c r="U26" s="68">
        <f>'dati_TRASF VOLTMETRICI'!G64</f>
        <v>0</v>
      </c>
    </row>
    <row r="27" spans="1:21" ht="15.75" customHeight="1" thickBot="1" x14ac:dyDescent="0.3">
      <c r="B27" s="348" t="s">
        <v>352</v>
      </c>
      <c r="C27" s="348" t="s">
        <v>353</v>
      </c>
      <c r="D27" s="77" t="s">
        <v>354</v>
      </c>
      <c r="E27" s="348" t="s">
        <v>360</v>
      </c>
      <c r="F27" s="348" t="s">
        <v>361</v>
      </c>
      <c r="G27" s="77" t="s">
        <v>362</v>
      </c>
      <c r="H27" s="1524" t="s">
        <v>679</v>
      </c>
      <c r="I27" s="1525"/>
      <c r="J27" s="1526"/>
      <c r="L27" s="71">
        <f>'dati_TRASF AMPEROMETRICI'!B65</f>
        <v>0</v>
      </c>
      <c r="M27" s="72">
        <f>'dati_TRASF AMPEROMETRICI'!D65</f>
        <v>0</v>
      </c>
      <c r="N27" s="73">
        <f>'dati_TRASF AMPEROMETRICI'!E65</f>
        <v>0</v>
      </c>
      <c r="O27" s="72">
        <f>'dati_TRASF AMPEROMETRICI'!F65</f>
        <v>0</v>
      </c>
      <c r="P27" s="74">
        <f>'dati_TRASF AMPEROMETRICI'!G65</f>
        <v>0</v>
      </c>
      <c r="Q27" s="88">
        <f>'dati_TRASF VOLTMETRICI'!B65</f>
        <v>0</v>
      </c>
      <c r="R27" s="72">
        <f>'dati_TRASF VOLTMETRICI'!D65</f>
        <v>0</v>
      </c>
      <c r="S27" s="73">
        <f>'dati_TRASF VOLTMETRICI'!E65</f>
        <v>0</v>
      </c>
      <c r="T27" s="72">
        <f>'dati_TRASF VOLTMETRICI'!F65</f>
        <v>0</v>
      </c>
      <c r="U27" s="74">
        <f>'dati_TRASF VOLTMETRICI'!G65</f>
        <v>0</v>
      </c>
    </row>
    <row r="28" spans="1:21" ht="15.75" customHeight="1" thickBot="1" x14ac:dyDescent="0.3">
      <c r="A28" s="368" t="s">
        <v>1092</v>
      </c>
      <c r="B28" s="363" t="str">
        <f>CONCATENATE('DATI INGRESSO'!D844," A")</f>
        <v xml:space="preserve"> A</v>
      </c>
      <c r="C28" s="51" t="str">
        <f>CONCATENATE('DATI INGRESSO'!D859," A")</f>
        <v xml:space="preserve"> A</v>
      </c>
      <c r="D28" s="52" t="str">
        <f>CONCATENATE('DATI INGRESSO'!D874," A")</f>
        <v xml:space="preserve"> A</v>
      </c>
      <c r="E28" s="363" t="str">
        <f>CONCATENATE('DATI INGRESSO'!D897," A")</f>
        <v xml:space="preserve"> A</v>
      </c>
      <c r="F28" s="51" t="str">
        <f>CONCATENATE('DATI INGRESSO'!D912," A")</f>
        <v xml:space="preserve"> A</v>
      </c>
      <c r="G28" s="52" t="str">
        <f>CONCATENATE('DATI INGRESSO'!D927," A")</f>
        <v xml:space="preserve"> A</v>
      </c>
      <c r="H28" s="357" t="s">
        <v>680</v>
      </c>
      <c r="I28" s="358" t="str">
        <f>CONCATENATE('DATI INGRESSO'!D982," W")</f>
        <v xml:space="preserve"> W</v>
      </c>
      <c r="J28" s="359" t="str">
        <f>CONCATENATE('DATI INGRESSO'!D983," War")</f>
        <v xml:space="preserve"> War</v>
      </c>
    </row>
    <row r="29" spans="1:21" ht="15.75" customHeight="1" thickBot="1" x14ac:dyDescent="0.3">
      <c r="A29" s="369" t="s">
        <v>1091</v>
      </c>
      <c r="B29" s="364" t="str">
        <f>CONCATENATE('DATI INGRESSO'!D845," V")</f>
        <v xml:space="preserve"> V</v>
      </c>
      <c r="C29" s="78" t="str">
        <f>CONCATENATE('DATI INGRESSO'!D860," V")</f>
        <v xml:space="preserve"> V</v>
      </c>
      <c r="D29" s="79" t="str">
        <f>CONCATENATE('DATI INGRESSO'!D875," V")</f>
        <v xml:space="preserve"> V</v>
      </c>
      <c r="E29" s="364" t="str">
        <f>CONCATENATE('DATI INGRESSO'!D898," V")</f>
        <v xml:space="preserve"> V</v>
      </c>
      <c r="F29" s="78" t="str">
        <f>CONCATENATE('DATI INGRESSO'!D913," V")</f>
        <v xml:space="preserve"> V</v>
      </c>
      <c r="G29" s="79" t="str">
        <f>CONCATENATE('DATI INGRESSO'!D928," V")</f>
        <v xml:space="preserve"> V</v>
      </c>
      <c r="H29" s="84" t="s">
        <v>360</v>
      </c>
      <c r="I29" s="85" t="s">
        <v>361</v>
      </c>
      <c r="J29" s="86" t="s">
        <v>362</v>
      </c>
    </row>
    <row r="30" spans="1:21" ht="15.75" customHeight="1" thickBot="1" x14ac:dyDescent="0.3">
      <c r="A30" s="368" t="s">
        <v>1087</v>
      </c>
      <c r="B30" s="365" t="str">
        <f>CONCATENATE('DATI INGRESSO'!C850," / ",'DATI INGRESSO'!E850)</f>
        <v xml:space="preserve"> / </v>
      </c>
      <c r="C30" s="80" t="str">
        <f>CONCATENATE('DATI INGRESSO'!C865," / ",'DATI INGRESSO'!E865)</f>
        <v xml:space="preserve"> / </v>
      </c>
      <c r="D30" s="81" t="str">
        <f>CONCATENATE('DATI INGRESSO'!C880," / ",'DATI INGRESSO'!E880)</f>
        <v xml:space="preserve"> / </v>
      </c>
      <c r="E30" s="360" t="str">
        <f>CONCATENATE('DATI INGRESSO'!C903," / ",'DATI INGRESSO'!E903)</f>
        <v xml:space="preserve"> / </v>
      </c>
      <c r="F30" s="80" t="str">
        <f>CONCATENATE('DATI INGRESSO'!C918," / ",'DATI INGRESSO'!E918)</f>
        <v xml:space="preserve"> / </v>
      </c>
      <c r="G30" s="81" t="str">
        <f>CONCATENATE('DATI INGRESSO'!C933," / ",'DATI INGRESSO'!E933)</f>
        <v xml:space="preserve"> / </v>
      </c>
      <c r="H30" s="87" t="str">
        <f>CONCATENATE('DATI INGRESSO'!C948," / ",'DATI INGRESSO'!E948)</f>
        <v xml:space="preserve"> / </v>
      </c>
      <c r="I30" s="80" t="str">
        <f>CONCATENATE('DATI INGRESSO'!C961," / ",'DATI INGRESSO'!E961)</f>
        <v xml:space="preserve"> / </v>
      </c>
      <c r="J30" s="81" t="str">
        <f>CONCATENATE('DATI INGRESSO'!C974," / ",'DATI INGRESSO'!E974)</f>
        <v xml:space="preserve"> / </v>
      </c>
    </row>
    <row r="31" spans="1:21" ht="15.75" customHeight="1" thickBot="1" x14ac:dyDescent="0.3">
      <c r="A31" s="368" t="s">
        <v>1088</v>
      </c>
      <c r="B31" s="366" t="str">
        <f>CONCATENATE('DATI INGRESSO'!C851," / ",'DATI INGRESSO'!E851)</f>
        <v xml:space="preserve"> / </v>
      </c>
      <c r="C31" s="353" t="str">
        <f>CONCATENATE('DATI INGRESSO'!C866," / ",'DATI INGRESSO'!E866)</f>
        <v xml:space="preserve"> / </v>
      </c>
      <c r="D31" s="22" t="str">
        <f>CONCATENATE('DATI INGRESSO'!C881," / ",'DATI INGRESSO'!E881)</f>
        <v xml:space="preserve"> / </v>
      </c>
      <c r="E31" s="361" t="str">
        <f>CONCATENATE('DATI INGRESSO'!C904," / ",'DATI INGRESSO'!E904)</f>
        <v xml:space="preserve"> / </v>
      </c>
      <c r="F31" s="353" t="str">
        <f>CONCATENATE('DATI INGRESSO'!C919," / ",'DATI INGRESSO'!E919)</f>
        <v xml:space="preserve"> / </v>
      </c>
      <c r="G31" s="22" t="str">
        <f>CONCATENATE('DATI INGRESSO'!C934," / ",'DATI INGRESSO'!E934)</f>
        <v xml:space="preserve"> / </v>
      </c>
      <c r="H31" s="350" t="str">
        <f>CONCATENATE('DATI INGRESSO'!C949," / ",'DATI INGRESSO'!E949)</f>
        <v xml:space="preserve"> / </v>
      </c>
      <c r="I31" s="353" t="str">
        <f>CONCATENATE('DATI INGRESSO'!C962," / ",'DATI INGRESSO'!E962)</f>
        <v xml:space="preserve"> / </v>
      </c>
      <c r="J31" s="22" t="str">
        <f>CONCATENATE('DATI INGRESSO'!C975," / ",'DATI INGRESSO'!E975)</f>
        <v xml:space="preserve"> / </v>
      </c>
      <c r="L31" s="89"/>
    </row>
    <row r="32" spans="1:21" ht="15.75" thickBot="1" x14ac:dyDescent="0.3">
      <c r="A32" s="368" t="s">
        <v>1089</v>
      </c>
      <c r="B32" s="366" t="str">
        <f>CONCATENATE('DATI INGRESSO'!C852," / ",'DATI INGRESSO'!E852)</f>
        <v xml:space="preserve"> / </v>
      </c>
      <c r="C32" s="353" t="str">
        <f>CONCATENATE('DATI INGRESSO'!C867," / ",'DATI INGRESSO'!E867)</f>
        <v xml:space="preserve"> / </v>
      </c>
      <c r="D32" s="22" t="str">
        <f>CONCATENATE('DATI INGRESSO'!C882," / ",'DATI INGRESSO'!E882)</f>
        <v xml:space="preserve"> / </v>
      </c>
      <c r="E32" s="361" t="str">
        <f>CONCATENATE('DATI INGRESSO'!C905," / ",'DATI INGRESSO'!E905)</f>
        <v xml:space="preserve"> / </v>
      </c>
      <c r="F32" s="353" t="str">
        <f>CONCATENATE('DATI INGRESSO'!C920," / ",'DATI INGRESSO'!E920)</f>
        <v xml:space="preserve"> / </v>
      </c>
      <c r="G32" s="22" t="str">
        <f>CONCATENATE('DATI INGRESSO'!C935," / ",'DATI INGRESSO'!E935)</f>
        <v xml:space="preserve"> / </v>
      </c>
      <c r="H32" s="350" t="str">
        <f>CONCATENATE('DATI INGRESSO'!C950," / ",'DATI INGRESSO'!E950)</f>
        <v xml:space="preserve"> / </v>
      </c>
      <c r="I32" s="353" t="str">
        <f>CONCATENATE('DATI INGRESSO'!C963," / ",'DATI INGRESSO'!E963)</f>
        <v xml:space="preserve"> / </v>
      </c>
      <c r="J32" s="22" t="str">
        <f>CONCATENATE('DATI INGRESSO'!C976," / ",'DATI INGRESSO'!E976)</f>
        <v xml:space="preserve"> / </v>
      </c>
      <c r="T32" s="1538" t="s">
        <v>367</v>
      </c>
      <c r="U32" s="1539"/>
    </row>
    <row r="33" spans="1:21" ht="15.75" thickBot="1" x14ac:dyDescent="0.3">
      <c r="A33" s="370" t="s">
        <v>1090</v>
      </c>
      <c r="B33" s="367" t="str">
        <f>CONCATENATE('DATI INGRESSO'!C853," / ",'DATI INGRESSO'!E853)</f>
        <v xml:space="preserve"> / </v>
      </c>
      <c r="C33" s="34" t="str">
        <f>CONCATENATE('DATI INGRESSO'!C868," / ",'DATI INGRESSO'!E868)</f>
        <v xml:space="preserve"> / </v>
      </c>
      <c r="D33" s="76" t="str">
        <f>CONCATENATE('DATI INGRESSO'!C883," / ",'DATI INGRESSO'!E883)</f>
        <v xml:space="preserve"> / </v>
      </c>
      <c r="E33" s="362" t="str">
        <f>CONCATENATE('DATI INGRESSO'!C906," / ",'DATI INGRESSO'!E906)</f>
        <v xml:space="preserve"> / </v>
      </c>
      <c r="F33" s="34" t="str">
        <f>CONCATENATE('DATI INGRESSO'!C921," / ",'DATI INGRESSO'!E921)</f>
        <v xml:space="preserve"> / </v>
      </c>
      <c r="G33" s="76" t="str">
        <f>CONCATENATE('DATI INGRESSO'!C936," / ",'DATI INGRESSO'!E936)</f>
        <v xml:space="preserve"> / </v>
      </c>
      <c r="H33" s="349" t="str">
        <f>CONCATENATE('DATI INGRESSO'!C951," / ",'DATI INGRESSO'!E951)</f>
        <v xml:space="preserve"> / </v>
      </c>
      <c r="I33" s="34" t="str">
        <f>CONCATENATE('DATI INGRESSO'!C964," / ",'DATI INGRESSO'!E964)</f>
        <v xml:space="preserve"> / </v>
      </c>
      <c r="J33" s="76" t="str">
        <f>CONCATENATE('DATI INGRESSO'!C977," / ",'DATI INGRESSO'!E977)</f>
        <v xml:space="preserve"> / </v>
      </c>
      <c r="T33" s="1272"/>
      <c r="U33" s="1540"/>
    </row>
    <row r="34" spans="1:21" ht="19.5" thickBot="1" x14ac:dyDescent="0.35">
      <c r="T34" s="1561" t="str">
        <f>'DATI INGRESSO'!C58</f>
        <v>97005555</v>
      </c>
      <c r="U34" s="1542"/>
    </row>
    <row r="35" spans="1:21" ht="15.75" thickBot="1" x14ac:dyDescent="0.3">
      <c r="A35" s="1566" t="s">
        <v>363</v>
      </c>
      <c r="B35" s="1567"/>
      <c r="C35" s="1567"/>
      <c r="D35" s="1567"/>
      <c r="E35" s="1567"/>
      <c r="F35" s="1568"/>
      <c r="H35" s="1556" t="s">
        <v>364</v>
      </c>
      <c r="I35" s="1557"/>
      <c r="J35" s="1560" t="str">
        <f>'DATI INGRESSO'!I383</f>
        <v>1.8.0</v>
      </c>
      <c r="K35" s="1560"/>
      <c r="L35" s="90" t="str">
        <f>'DATI INGRESSO'!G383</f>
        <v>A+</v>
      </c>
      <c r="N35" s="1556" t="s">
        <v>364</v>
      </c>
      <c r="O35" s="1557"/>
      <c r="P35" s="1560" t="str">
        <f>'DATI INGRESSO'!I551</f>
        <v>2.8.0</v>
      </c>
      <c r="Q35" s="1560"/>
      <c r="R35" s="90" t="str">
        <f>'DATI INGRESSO'!G551</f>
        <v>A-</v>
      </c>
      <c r="T35" s="1270" t="s">
        <v>247</v>
      </c>
      <c r="U35" s="1535"/>
    </row>
    <row r="36" spans="1:21" ht="19.5" thickBot="1" x14ac:dyDescent="0.35">
      <c r="A36" s="1553" t="str">
        <f>CONCATENATE("V-",'DATI INGRESSO'!E289," ",'DATI INGRESSO'!C281," / ",'DATI INGRESSO'!E281," / ",'DATI INGRESSO'!G281)</f>
        <v>V-F-N 57,73 / 57,78 / 57,71</v>
      </c>
      <c r="B36" s="1554"/>
      <c r="D36" s="91">
        <f>'DATI INGRESSO'!K287</f>
        <v>-1E-3</v>
      </c>
      <c r="E36" s="91">
        <f>'DATI INGRESSO'!K288</f>
        <v>-1.1000000000000001E-3</v>
      </c>
      <c r="F36" s="92">
        <f>'DATI INGRESSO'!K289</f>
        <v>-1.1999999999999999E-3</v>
      </c>
      <c r="H36" s="1558"/>
      <c r="I36" s="1559"/>
      <c r="J36" s="93" t="str">
        <f>CONCATENATE("VR: ",'DATI INGRESSO'!C378)</f>
        <v>VR: 57,7</v>
      </c>
      <c r="K36" s="94" t="str">
        <f>CONCATENATE("VS: ",'DATI INGRESSO'!E378)</f>
        <v>VS: 57,7</v>
      </c>
      <c r="L36" s="95" t="str">
        <f>CONCATENATE("VT: ",'DATI INGRESSO'!G378)</f>
        <v>VT: 57,7</v>
      </c>
      <c r="N36" s="1558"/>
      <c r="O36" s="1559"/>
      <c r="P36" s="93" t="str">
        <f>CONCATENATE("VR: ",'DATI INGRESSO'!C546)</f>
        <v>VR: 57,7</v>
      </c>
      <c r="Q36" s="94" t="str">
        <f>CONCATENATE("VS: ",'DATI INGRESSO'!E546)</f>
        <v>VS: 57,7</v>
      </c>
      <c r="R36" s="95" t="str">
        <f>CONCATENATE("VT: ",'DATI INGRESSO'!G546)</f>
        <v>VT: 57,7</v>
      </c>
      <c r="T36" s="1545">
        <f>IF('DATI INGRESSO'!H7="","",'DATI INGRESSO'!H7)</f>
        <v>44041</v>
      </c>
      <c r="U36" s="1537"/>
    </row>
    <row r="37" spans="1:21" ht="15.75" thickBot="1" x14ac:dyDescent="0.3">
      <c r="A37" s="1533" t="str">
        <f>CONCATENATE("I  ",'DATI INGRESSO'!C284," / ",'DATI INGRESSO'!E284," / ",'DATI INGRESSO'!G284)</f>
        <v>I  2,51 / 2,52 / 2,53</v>
      </c>
      <c r="B37" s="1534"/>
      <c r="D37" s="34" t="str">
        <f>CONCATENATE('DATI INGRESSO'!I281,'DATI INGRESSO'!I284)</f>
        <v>0,94</v>
      </c>
      <c r="E37" s="13" t="str">
        <f>CONCATENATE('DATI INGRESSO'!G286," / ",'DATI INGRESSO'!I286)</f>
        <v>A- / 2.8.0</v>
      </c>
      <c r="F37" s="96" t="str">
        <f>CONCATENATE('DATI INGRESSO'!G289,"kW")</f>
        <v>2,111kW</v>
      </c>
      <c r="H37" s="1553" t="str">
        <f>CONCATENATE("TRIF  ",'DATI INGRESSO'!C381," A cos ",'DATI INGRESSO'!I378)</f>
        <v>TRIF  0,25 A cos 1</v>
      </c>
      <c r="I37" s="1554"/>
      <c r="J37" s="91">
        <f>'DATI INGRESSO'!K384</f>
        <v>1E-4</v>
      </c>
      <c r="K37" s="91">
        <f>'DATI INGRESSO'!K385</f>
        <v>1E-4</v>
      </c>
      <c r="L37" s="92">
        <f>'DATI INGRESSO'!K386</f>
        <v>1E-4</v>
      </c>
      <c r="N37" s="1553" t="str">
        <f>CONCATENATE("TRIF  ",'DATI INGRESSO'!C549," A cos ",'DATI INGRESSO'!I546)</f>
        <v>TRIF  0,25 A cos 1</v>
      </c>
      <c r="O37" s="1554"/>
      <c r="P37" s="91">
        <f>'DATI INGRESSO'!K552</f>
        <v>1E-3</v>
      </c>
      <c r="Q37" s="91">
        <f>'DATI INGRESSO'!K553</f>
        <v>1E-3</v>
      </c>
      <c r="R37" s="92">
        <f>'DATI INGRESSO'!K554</f>
        <v>1E-3</v>
      </c>
      <c r="T37" s="1270" t="s">
        <v>743</v>
      </c>
      <c r="U37" s="1535"/>
    </row>
    <row r="38" spans="1:21" ht="19.5" thickBot="1" x14ac:dyDescent="0.35">
      <c r="A38" s="1553" t="str">
        <f>CONCATENATE("V-",'DATI INGRESSO'!E304," ",'DATI INGRESSO'!C296," / ",'DATI INGRESSO'!E296," / ",'DATI INGRESSO'!G296)</f>
        <v>V-F-N 57,6 / 57,69 / 57,78</v>
      </c>
      <c r="B38" s="1554"/>
      <c r="D38" s="91">
        <f>'DATI INGRESSO'!K302</f>
        <v>-1.2999999999999999E-3</v>
      </c>
      <c r="E38" s="91">
        <f>'DATI INGRESSO'!K303</f>
        <v>-1.4E-3</v>
      </c>
      <c r="F38" s="92">
        <f>'DATI INGRESSO'!K304</f>
        <v>1.5E-3</v>
      </c>
      <c r="H38" s="1532" t="str">
        <f>CONCATENATE("TRIF  ",'DATI INGRESSO'!C396," A cos ",'DATI INGRESSO'!I393)</f>
        <v>TRIF  0,25 A cos 0,5</v>
      </c>
      <c r="I38" s="1381"/>
      <c r="J38" s="97">
        <f>'DATI INGRESSO'!K399</f>
        <v>2.0000000000000001E-4</v>
      </c>
      <c r="K38" s="97">
        <f>'DATI INGRESSO'!K400</f>
        <v>2.0000000000000001E-4</v>
      </c>
      <c r="L38" s="98">
        <f>'DATI INGRESSO'!K401</f>
        <v>2.0000000000000001E-4</v>
      </c>
      <c r="N38" s="1532" t="str">
        <f>CONCATENATE("TRIF  ",'DATI INGRESSO'!C564," A cos ",'DATI INGRESSO'!I561)</f>
        <v>TRIF  0,25 A cos 0,5</v>
      </c>
      <c r="O38" s="1381"/>
      <c r="P38" s="97">
        <f>'DATI INGRESSO'!K567</f>
        <v>1.1000000000000001E-3</v>
      </c>
      <c r="Q38" s="97">
        <f>'DATI INGRESSO'!K568</f>
        <v>1.1000000000000001E-3</v>
      </c>
      <c r="R38" s="98">
        <f>'DATI INGRESSO'!K569</f>
        <v>1.1000000000000001E-3</v>
      </c>
      <c r="T38" s="1545" t="str">
        <f>IF('DATI INGRESSO'!H14="","",'DATI INGRESSO'!H14)</f>
        <v>20/07/2020</v>
      </c>
      <c r="U38" s="1537"/>
    </row>
    <row r="39" spans="1:21" ht="15.75" thickBot="1" x14ac:dyDescent="0.3">
      <c r="A39" s="1533" t="str">
        <f>CONCATENATE("I  ",'DATI INGRESSO'!C299," / ",'DATI INGRESSO'!E299," / ",'DATI INGRESSO'!G299)</f>
        <v>I  3,27 / 3,341 / 3,275</v>
      </c>
      <c r="B39" s="1534"/>
      <c r="D39" s="34" t="str">
        <f>CONCATENATE('DATI INGRESSO'!I296,'DATI INGRESSO'!I299)</f>
        <v>0,95</v>
      </c>
      <c r="E39" s="13" t="str">
        <f>CONCATENATE('DATI INGRESSO'!G301," / ",'DATI INGRESSO'!I301)</f>
        <v>A+ / 2.8.0</v>
      </c>
      <c r="F39" s="96" t="str">
        <f>CONCATENATE('DATI INGRESSO'!G304,"kW")</f>
        <v>2,112kW</v>
      </c>
      <c r="H39" s="1532" t="str">
        <f>CONCATENATE("TRIF  ",'DATI INGRESSO'!C411," A cos ",'DATI INGRESSO'!I408)</f>
        <v>TRIF  1 A cos 1</v>
      </c>
      <c r="I39" s="1381"/>
      <c r="J39" s="97">
        <f>'DATI INGRESSO'!K414</f>
        <v>2.9999999999999997E-4</v>
      </c>
      <c r="K39" s="97">
        <f>'DATI INGRESSO'!K415</f>
        <v>2.9999999999999997E-4</v>
      </c>
      <c r="L39" s="98">
        <f>'DATI INGRESSO'!K416</f>
        <v>2.9999999999999997E-4</v>
      </c>
      <c r="N39" s="1532" t="str">
        <f>CONCATENATE("TRIF  ",'DATI INGRESSO'!C579," A cos ",'DATI INGRESSO'!I576)</f>
        <v>TRIF  1 A cos 1</v>
      </c>
      <c r="O39" s="1381"/>
      <c r="P39" s="97">
        <f>'DATI INGRESSO'!K582</f>
        <v>1.1999999999999999E-3</v>
      </c>
      <c r="Q39" s="97">
        <f>'DATI INGRESSO'!K583</f>
        <v>1.1999999999999999E-3</v>
      </c>
      <c r="R39" s="98">
        <f>'DATI INGRESSO'!K584</f>
        <v>1.1999999999999999E-3</v>
      </c>
      <c r="T39" s="1270" t="s">
        <v>1066</v>
      </c>
      <c r="U39" s="1535"/>
    </row>
    <row r="40" spans="1:21" ht="19.5" thickBot="1" x14ac:dyDescent="0.35">
      <c r="A40" s="1553" t="str">
        <f>CONCATENATE("V-",'DATI INGRESSO'!E319," ",'DATI INGRESSO'!C311," / ",'DATI INGRESSO'!E311," / ",'DATI INGRESSO'!G311)</f>
        <v>V-F-N 57,85 / 57,77 / 57,81</v>
      </c>
      <c r="B40" s="1554"/>
      <c r="D40" s="91">
        <f>'DATI INGRESSO'!K317</f>
        <v>1.6000000000000001E-3</v>
      </c>
      <c r="E40" s="91">
        <f>'DATI INGRESSO'!K318</f>
        <v>1.6999999999999999E-3</v>
      </c>
      <c r="F40" s="92">
        <f>'DATI INGRESSO'!K319</f>
        <v>1.8E-3</v>
      </c>
      <c r="H40" s="1532" t="str">
        <f>CONCATENATE("TRIF  ",'DATI INGRESSO'!C426," A cos ",'DATI INGRESSO'!I423)</f>
        <v>TRIF  1 A cos 0,5</v>
      </c>
      <c r="I40" s="1381"/>
      <c r="J40" s="97">
        <f>'DATI INGRESSO'!K429</f>
        <v>4.0000000000000002E-4</v>
      </c>
      <c r="K40" s="97">
        <f>'DATI INGRESSO'!K430</f>
        <v>4.0000000000000002E-4</v>
      </c>
      <c r="L40" s="98">
        <f>'DATI INGRESSO'!K431</f>
        <v>4.0000000000000002E-4</v>
      </c>
      <c r="N40" s="1532" t="str">
        <f>CONCATENATE("TRIF  ",'DATI INGRESSO'!C594," A cos ",'DATI INGRESSO'!I591)</f>
        <v>TRIF  1 A cos 0,5</v>
      </c>
      <c r="O40" s="1381"/>
      <c r="P40" s="97">
        <f>'DATI INGRESSO'!K597</f>
        <v>1.2999999999999999E-3</v>
      </c>
      <c r="Q40" s="97">
        <f>'DATI INGRESSO'!K598</f>
        <v>1.2999999999999999E-3</v>
      </c>
      <c r="R40" s="98">
        <f>'DATI INGRESSO'!K599</f>
        <v>1.2999999999999999E-3</v>
      </c>
      <c r="T40" s="1545" t="str">
        <f>IF('DATI INGRESSO'!H16="","",'DATI INGRESSO'!H16)</f>
        <v/>
      </c>
      <c r="U40" s="1537"/>
    </row>
    <row r="41" spans="1:21" ht="15.75" thickBot="1" x14ac:dyDescent="0.3">
      <c r="A41" s="1533" t="str">
        <f>CONCATENATE("I  ",'DATI INGRESSO'!C314," / ",'DATI INGRESSO'!E314," / ",'DATI INGRESSO'!G314)</f>
        <v>I  3,276 / 3,336 / 3,27</v>
      </c>
      <c r="B41" s="1534"/>
      <c r="D41" s="34" t="str">
        <f>CONCATENATE('DATI INGRESSO'!I311,'DATI INGRESSO'!I314)</f>
        <v>0,96</v>
      </c>
      <c r="E41" s="13" t="str">
        <f>CONCATENATE('DATI INGRESSO'!G316," / ",'DATI INGRESSO'!I316)</f>
        <v>A- / 2.8.0</v>
      </c>
      <c r="F41" s="96" t="str">
        <f>CONCATENATE('DATI INGRESSO'!G319,"kW")</f>
        <v>2,113kW</v>
      </c>
      <c r="H41" s="1532" t="str">
        <f>CONCATENATE("TRIF  ",'DATI INGRESSO'!C441," A cos ",'DATI INGRESSO'!I438)</f>
        <v>TRIF  5 A cos 1</v>
      </c>
      <c r="I41" s="1381"/>
      <c r="J41" s="97">
        <f>'DATI INGRESSO'!K444</f>
        <v>5.0000000000000001E-4</v>
      </c>
      <c r="K41" s="97">
        <f>'DATI INGRESSO'!K445</f>
        <v>5.0000000000000001E-4</v>
      </c>
      <c r="L41" s="98">
        <f>'DATI INGRESSO'!K446</f>
        <v>5.0000000000000001E-4</v>
      </c>
      <c r="N41" s="1532" t="str">
        <f>CONCATENATE("TRIF  ",'DATI INGRESSO'!C609," A cos ",'DATI INGRESSO'!I606)</f>
        <v>TRIF  5 A cos 1</v>
      </c>
      <c r="O41" s="1381"/>
      <c r="P41" s="97">
        <f>'DATI INGRESSO'!K612</f>
        <v>1.4E-3</v>
      </c>
      <c r="Q41" s="97">
        <f>'DATI INGRESSO'!K613</f>
        <v>1.4E-3</v>
      </c>
      <c r="R41" s="98">
        <f>'DATI INGRESSO'!K614</f>
        <v>1.4E-3</v>
      </c>
      <c r="T41" s="1270" t="s">
        <v>1067</v>
      </c>
      <c r="U41" s="1535"/>
    </row>
    <row r="42" spans="1:21" ht="19.5" thickBot="1" x14ac:dyDescent="0.35">
      <c r="A42" s="1553" t="str">
        <f>CONCATENATE("V-",'DATI INGRESSO'!E334," ",'DATI INGRESSO'!C326," / ",'DATI INGRESSO'!E326," / ",'DATI INGRESSO'!G326)</f>
        <v>V-F-N 57,7 / 57,7 / 57,77</v>
      </c>
      <c r="B42" s="1554"/>
      <c r="D42" s="91">
        <f>'DATI INGRESSO'!K332</f>
        <v>-1.9E-3</v>
      </c>
      <c r="E42" s="91">
        <f>'DATI INGRESSO'!K333</f>
        <v>2E-3</v>
      </c>
      <c r="F42" s="92">
        <f>'DATI INGRESSO'!K334</f>
        <v>-2.0999999999999999E-3</v>
      </c>
      <c r="H42" s="1532" t="str">
        <f>CONCATENATE("TRIF  ",'DATI INGRESSO'!C456," A cos ",'DATI INGRESSO'!I453)</f>
        <v>TRIF  5 A cos 0,5</v>
      </c>
      <c r="I42" s="1381"/>
      <c r="J42" s="97">
        <f>'DATI INGRESSO'!K459</f>
        <v>5.9999999999999995E-4</v>
      </c>
      <c r="K42" s="97">
        <f>'DATI INGRESSO'!K460</f>
        <v>5.9999999999999995E-4</v>
      </c>
      <c r="L42" s="98">
        <f>'DATI INGRESSO'!K461</f>
        <v>5.9999999999999995E-4</v>
      </c>
      <c r="N42" s="1532" t="str">
        <f>CONCATENATE("TRIF  ",'DATI INGRESSO'!C624," A cos ",'DATI INGRESSO'!I621)</f>
        <v>TRIF  5 A cos 0,5</v>
      </c>
      <c r="O42" s="1381"/>
      <c r="P42" s="97">
        <f>'DATI INGRESSO'!K627</f>
        <v>1.5E-3</v>
      </c>
      <c r="Q42" s="97">
        <f>'DATI INGRESSO'!K628</f>
        <v>1.5E-3</v>
      </c>
      <c r="R42" s="98">
        <f>'DATI INGRESSO'!K629</f>
        <v>1.5E-3</v>
      </c>
      <c r="T42" s="1546" t="str">
        <f>'DATI INGRESSO'!C8</f>
        <v>CP200077</v>
      </c>
      <c r="U42" s="1547"/>
    </row>
    <row r="43" spans="1:21" ht="15.75" thickBot="1" x14ac:dyDescent="0.3">
      <c r="A43" s="1533" t="str">
        <f>CONCATENATE("I  ",'DATI INGRESSO'!C329," / ",'DATI INGRESSO'!E329," / ",'DATI INGRESSO'!G329)</f>
        <v>I  3,286 / 3,332 / 3,269</v>
      </c>
      <c r="B43" s="1534"/>
      <c r="D43" s="34" t="str">
        <f>CONCATENATE('DATI INGRESSO'!I326,'DATI INGRESSO'!I329)</f>
        <v>0,97</v>
      </c>
      <c r="E43" s="13" t="str">
        <f>CONCATENATE('DATI INGRESSO'!G331," / ",'DATI INGRESSO'!I331)</f>
        <v>A+ / 2.8.0</v>
      </c>
      <c r="F43" s="96" t="str">
        <f>CONCATENATE('DATI INGRESSO'!G334,"kW")</f>
        <v>2,114kW</v>
      </c>
      <c r="H43" s="1532" t="str">
        <f>CONCATENATE("TRIF  ",'DATI INGRESSO'!C471," A cos ",'DATI INGRESSO'!I468)</f>
        <v>TRIF  6 A cos 1</v>
      </c>
      <c r="I43" s="1381"/>
      <c r="J43" s="97">
        <f>'DATI INGRESSO'!K474</f>
        <v>6.9999999999999999E-4</v>
      </c>
      <c r="K43" s="97">
        <f>'DATI INGRESSO'!K475</f>
        <v>6.9999999999999999E-4</v>
      </c>
      <c r="L43" s="98">
        <f>'DATI INGRESSO'!K476</f>
        <v>6.9999999999999999E-4</v>
      </c>
      <c r="N43" s="1532" t="str">
        <f>CONCATENATE("TRIF  ",'DATI INGRESSO'!C639," A cos ",'DATI INGRESSO'!I636)</f>
        <v>TRIF  6 A cos 1</v>
      </c>
      <c r="O43" s="1381"/>
      <c r="P43" s="97">
        <f>'DATI INGRESSO'!K642</f>
        <v>1.6000000000000001E-3</v>
      </c>
      <c r="Q43" s="97">
        <f>'DATI INGRESSO'!K643</f>
        <v>1.6000000000000001E-3</v>
      </c>
      <c r="R43" s="98">
        <f>'DATI INGRESSO'!K644</f>
        <v>1.6000000000000001E-3</v>
      </c>
      <c r="T43" s="1270" t="s">
        <v>1068</v>
      </c>
      <c r="U43" s="1535"/>
    </row>
    <row r="44" spans="1:21" ht="19.5" thickBot="1" x14ac:dyDescent="0.35">
      <c r="A44" s="1553" t="str">
        <f>CONCATENATE("V-",'DATI INGRESSO'!E349," ",'DATI INGRESSO'!C341," / ",'DATI INGRESSO'!E341," / ",'DATI INGRESSO'!G341)</f>
        <v>V-F-N 57,7 / 57,7 / 57,77</v>
      </c>
      <c r="B44" s="1554"/>
      <c r="D44" s="91">
        <f>'DATI INGRESSO'!K347</f>
        <v>-2.2000000000000001E-3</v>
      </c>
      <c r="E44" s="91">
        <f>'DATI INGRESSO'!K348</f>
        <v>2.3E-3</v>
      </c>
      <c r="F44" s="92">
        <f>'DATI INGRESSO'!K349</f>
        <v>2.3999999999999998E-3</v>
      </c>
      <c r="H44" s="1532" t="str">
        <f>CONCATENATE("TRIF  ",'DATI INGRESSO'!C486," A cos ",'DATI INGRESSO'!I483)</f>
        <v>TRIF  6 A cos 0,5</v>
      </c>
      <c r="I44" s="1381"/>
      <c r="J44" s="97">
        <f>'DATI INGRESSO'!K489</f>
        <v>8.0000000000000004E-4</v>
      </c>
      <c r="K44" s="97">
        <f>'DATI INGRESSO'!K490</f>
        <v>8.0000000000000004E-4</v>
      </c>
      <c r="L44" s="98">
        <f>'DATI INGRESSO'!K491</f>
        <v>8.0000000000000004E-4</v>
      </c>
      <c r="N44" s="1532" t="str">
        <f>CONCATENATE("TRIF  ",'DATI INGRESSO'!C654," A cos ",'DATI INGRESSO'!I651)</f>
        <v>TRIF  6 A cos 0,5</v>
      </c>
      <c r="O44" s="1381"/>
      <c r="P44" s="97">
        <f>'DATI INGRESSO'!K657</f>
        <v>1.6999999999999999E-3</v>
      </c>
      <c r="Q44" s="97">
        <f>'DATI INGRESSO'!K658</f>
        <v>1.6999999999999999E-3</v>
      </c>
      <c r="R44" s="98">
        <f>'DATI INGRESSO'!K659</f>
        <v>1.6999999999999999E-3</v>
      </c>
      <c r="T44" s="1546">
        <f>'DATI INGRESSO'!C11</f>
        <v>8601</v>
      </c>
      <c r="U44" s="1547"/>
    </row>
    <row r="45" spans="1:21" ht="15.75" thickBot="1" x14ac:dyDescent="0.3">
      <c r="A45" s="1533" t="str">
        <f>CONCATENATE("I  ",'DATI INGRESSO'!C344," / ",'DATI INGRESSO'!E344," / ",'DATI INGRESSO'!G344)</f>
        <v>I  3,286 / 3,332 / 3,269</v>
      </c>
      <c r="B45" s="1534"/>
      <c r="D45" s="34" t="str">
        <f>CONCATENATE('DATI INGRESSO'!I341,'DATI INGRESSO'!I344)</f>
        <v>0,98</v>
      </c>
      <c r="E45" s="13" t="str">
        <f>CONCATENATE('DATI INGRESSO'!G346," / ",'DATI INGRESSO'!I346)</f>
        <v>A- / 2.8.0</v>
      </c>
      <c r="F45" s="96" t="str">
        <f>CONCATENATE('DATI INGRESSO'!G349,"kW")</f>
        <v>2,115kW</v>
      </c>
      <c r="H45" s="1532" t="str">
        <f>CONCATENATE("MON-R  ",'DATI INGRESSO'!C501," A cos ",'DATI INGRESSO'!I498)</f>
        <v>MON-R  5 A cos 1</v>
      </c>
      <c r="I45" s="1381"/>
      <c r="J45" s="97">
        <f>'DATI INGRESSO'!K504</f>
        <v>8.9999999999999998E-4</v>
      </c>
      <c r="K45" s="97">
        <f>'DATI INGRESSO'!K505</f>
        <v>8.9999999999999998E-4</v>
      </c>
      <c r="L45" s="98">
        <f>'DATI INGRESSO'!K506</f>
        <v>8.9999999999999998E-4</v>
      </c>
      <c r="N45" s="1532" t="str">
        <f>CONCATENATE("MON-R  ",'DATI INGRESSO'!C669," A cos ",'DATI INGRESSO'!I666)</f>
        <v>MON-R  5 A cos 1</v>
      </c>
      <c r="O45" s="1381"/>
      <c r="P45" s="97">
        <f>'DATI INGRESSO'!K672</f>
        <v>1.8E-3</v>
      </c>
      <c r="Q45" s="97">
        <f>'DATI INGRESSO'!K673</f>
        <v>1.8E-3</v>
      </c>
      <c r="R45" s="98">
        <f>'DATI INGRESSO'!K674</f>
        <v>1.8E-3</v>
      </c>
      <c r="T45" s="1270" t="s">
        <v>1069</v>
      </c>
      <c r="U45" s="1535"/>
    </row>
    <row r="46" spans="1:21" ht="19.5" thickBot="1" x14ac:dyDescent="0.35">
      <c r="A46" s="1553" t="str">
        <f>CONCATENATE("V-",'DATI INGRESSO'!E364," ",'DATI INGRESSO'!C356," / ",'DATI INGRESSO'!E356," / ",'DATI INGRESSO'!G356)</f>
        <v>V-F-N 57,74 / 57,73 / 57,71</v>
      </c>
      <c r="B46" s="1554"/>
      <c r="D46" s="91">
        <f>'DATI INGRESSO'!K362</f>
        <v>2.5000000000000001E-3</v>
      </c>
      <c r="E46" s="91">
        <f>'DATI INGRESSO'!K363</f>
        <v>2.5999999999999999E-3</v>
      </c>
      <c r="F46" s="92">
        <f>'DATI INGRESSO'!K364</f>
        <v>-2.7000000000000001E-3</v>
      </c>
      <c r="H46" s="1532" t="str">
        <f>CONCATENATE("MON-S  ",'DATI INGRESSO'!E516," A cos ",'DATI INGRESSO'!I513)</f>
        <v>MON-S   A cos 1</v>
      </c>
      <c r="I46" s="1381"/>
      <c r="J46" s="97" t="str">
        <f>'DATI INGRESSO'!K519</f>
        <v/>
      </c>
      <c r="K46" s="97" t="str">
        <f>'DATI INGRESSO'!K520</f>
        <v/>
      </c>
      <c r="L46" s="98" t="str">
        <f>'DATI INGRESSO'!K521</f>
        <v/>
      </c>
      <c r="N46" s="1532" t="str">
        <f>CONCATENATE("MON-S  ",'DATI INGRESSO'!E684," A cos ",'DATI INGRESSO'!I681)</f>
        <v>MON-S   A cos 1</v>
      </c>
      <c r="O46" s="1381"/>
      <c r="P46" s="97" t="str">
        <f>'DATI INGRESSO'!K687</f>
        <v/>
      </c>
      <c r="Q46" s="97" t="str">
        <f>'DATI INGRESSO'!K688</f>
        <v/>
      </c>
      <c r="R46" s="98" t="str">
        <f>'DATI INGRESSO'!K689</f>
        <v/>
      </c>
      <c r="T46" s="1548" t="str">
        <f>'DATI INGRESSO'!C14</f>
        <v>ORD2003061B</v>
      </c>
      <c r="U46" s="1547"/>
    </row>
    <row r="47" spans="1:21" ht="15.75" thickBot="1" x14ac:dyDescent="0.3">
      <c r="A47" s="1533" t="str">
        <f>CONCATENATE("I  ",'DATI INGRESSO'!C359," / ",'DATI INGRESSO'!E359," / ",'DATI INGRESSO'!G359)</f>
        <v>I  3,272 / 3,343 / 3,263</v>
      </c>
      <c r="B47" s="1534"/>
      <c r="D47" s="34" t="str">
        <f>CONCATENATE('DATI INGRESSO'!I356,'DATI INGRESSO'!I359)</f>
        <v>0,99</v>
      </c>
      <c r="E47" s="34" t="str">
        <f>CONCATENATE('DATI INGRESSO'!G361," / ",'DATI INGRESSO'!I361)</f>
        <v>A+ / 2.8.0</v>
      </c>
      <c r="F47" s="96" t="str">
        <f>CONCATENATE('DATI INGRESSO'!G364,"kW")</f>
        <v>2,116kW</v>
      </c>
      <c r="H47" s="1533" t="str">
        <f>CONCATENATE("MON-T  ",'DATI INGRESSO'!G531," A cos ",'DATI INGRESSO'!I528)</f>
        <v>MON-T   A cos 1</v>
      </c>
      <c r="I47" s="1534"/>
      <c r="J47" s="99" t="str">
        <f>'DATI INGRESSO'!K534</f>
        <v/>
      </c>
      <c r="K47" s="99" t="str">
        <f>'DATI INGRESSO'!K535</f>
        <v/>
      </c>
      <c r="L47" s="100" t="str">
        <f>'DATI INGRESSO'!K536</f>
        <v/>
      </c>
      <c r="N47" s="1533" t="str">
        <f>CONCATENATE("MON-T  ",'DATI INGRESSO'!G699," A cos ",'DATI INGRESSO'!I696)</f>
        <v>MON-T   A cos 1</v>
      </c>
      <c r="O47" s="1534"/>
      <c r="P47" s="99" t="str">
        <f>'DATI INGRESSO'!K702</f>
        <v/>
      </c>
      <c r="Q47" s="99" t="str">
        <f>'DATI INGRESSO'!K703</f>
        <v/>
      </c>
      <c r="R47" s="100" t="str">
        <f>'DATI INGRESSO'!K704</f>
        <v/>
      </c>
    </row>
    <row r="48" spans="1:21" ht="15.75" x14ac:dyDescent="0.25">
      <c r="A48" s="101" t="s">
        <v>700</v>
      </c>
    </row>
    <row r="49" spans="1:21" x14ac:dyDescent="0.25">
      <c r="A49" s="102" t="s">
        <v>210</v>
      </c>
      <c r="B49" s="103" t="s">
        <v>299</v>
      </c>
      <c r="C49" s="103" t="s">
        <v>234</v>
      </c>
      <c r="D49" s="103" t="s">
        <v>174</v>
      </c>
      <c r="E49" s="104" t="s">
        <v>230</v>
      </c>
      <c r="F49" s="103" t="s">
        <v>200</v>
      </c>
      <c r="G49" s="103" t="s">
        <v>201</v>
      </c>
      <c r="H49" s="103" t="s">
        <v>202</v>
      </c>
      <c r="I49" s="103" t="s">
        <v>203</v>
      </c>
      <c r="J49" s="103" t="s">
        <v>204</v>
      </c>
      <c r="K49" s="103" t="s">
        <v>205</v>
      </c>
      <c r="L49" s="103" t="s">
        <v>206</v>
      </c>
      <c r="M49" s="103" t="s">
        <v>207</v>
      </c>
      <c r="N49" s="103" t="s">
        <v>208</v>
      </c>
      <c r="O49" s="103" t="s">
        <v>209</v>
      </c>
      <c r="P49" s="103" t="s">
        <v>237</v>
      </c>
    </row>
    <row r="50" spans="1:21" x14ac:dyDescent="0.25">
      <c r="A50" s="37"/>
      <c r="B50" s="9" t="s">
        <v>61</v>
      </c>
      <c r="C50" s="9" t="s">
        <v>20</v>
      </c>
      <c r="D50" s="9"/>
      <c r="E50" s="2"/>
      <c r="F50" s="9"/>
      <c r="G50" s="9" t="s">
        <v>1</v>
      </c>
      <c r="H50" s="9" t="s">
        <v>1</v>
      </c>
      <c r="I50" s="9" t="s">
        <v>1</v>
      </c>
      <c r="J50" s="9" t="s">
        <v>1</v>
      </c>
      <c r="K50" s="9" t="s">
        <v>1</v>
      </c>
      <c r="L50" s="9" t="s">
        <v>1</v>
      </c>
      <c r="M50" s="9" t="s">
        <v>1</v>
      </c>
      <c r="N50" s="9" t="s">
        <v>1</v>
      </c>
      <c r="O50" s="9"/>
      <c r="P50" s="9"/>
    </row>
    <row r="51" spans="1:21" x14ac:dyDescent="0.25">
      <c r="A51" s="12" t="str">
        <f>IF('ELABORAZIONE ERRORI'!A11='ELABORAZIONE ERRORI'!C11,'ELABORAZIONE ERRORI'!C11,"ERRORE")</f>
        <v>R1</v>
      </c>
      <c r="B51" s="12">
        <f>'ELABORAZIONE ERRORI'!D11</f>
        <v>99.9</v>
      </c>
      <c r="C51" s="12">
        <f>'ELABORAZIONE ERRORI'!E11</f>
        <v>2.52</v>
      </c>
      <c r="D51" s="12">
        <f>'ELABORAZIONE ERRORI'!G11</f>
        <v>0.94</v>
      </c>
      <c r="E51" s="12" t="str">
        <f>'ELABORAZIONE ERRORI'!H11</f>
        <v/>
      </c>
      <c r="F51" s="12" t="str">
        <f>'ELABORAZIONE ERRORI'!J11</f>
        <v>2.8.0</v>
      </c>
      <c r="G51" s="12">
        <f>'ELABORAZIONE ERRORI'!L11</f>
        <v>-0.11</v>
      </c>
      <c r="H51" s="12">
        <f>'ELABORAZIONE ERRORI'!M11</f>
        <v>0</v>
      </c>
      <c r="I51" s="105">
        <f>'ELABORAZIONE ERRORI'!N11</f>
        <v>4.4999999999999998E-2</v>
      </c>
      <c r="J51" s="12">
        <f>'ELABORAZIONE ERRORI'!O11</f>
        <v>5.2999999999999999E-2</v>
      </c>
      <c r="K51" s="12">
        <f>'ELABORAZIONE ERRORI'!P11</f>
        <v>-1.2E-2</v>
      </c>
      <c r="L51" s="12">
        <f>'ELABORAZIONE ERRORI'!Q11</f>
        <v>1.05</v>
      </c>
      <c r="M51" s="12">
        <f>'ELABORAZIONE ERRORI'!R11</f>
        <v>0.95850000000000002</v>
      </c>
      <c r="N51" s="12">
        <f>'ELABORAZIONE ERRORI'!S11</f>
        <v>1.4219999999999999</v>
      </c>
      <c r="O51" s="12" t="str">
        <f>'ELABORAZIONE ERRORI'!T11</f>
        <v>POSITIVO</v>
      </c>
      <c r="P51" s="12" t="str">
        <f>'ELABORAZIONE ERRORI'!U11</f>
        <v>CORRETTA</v>
      </c>
    </row>
    <row r="52" spans="1:21" x14ac:dyDescent="0.25">
      <c r="A52" s="12" t="str">
        <f>IF('ELABORAZIONE ERRORI'!A12='ELABORAZIONE ERRORI'!C12,'ELABORAZIONE ERRORI'!C12,"ERRORE")</f>
        <v>R2</v>
      </c>
      <c r="B52" s="12">
        <f>'ELABORAZIONE ERRORI'!D12</f>
        <v>99.9</v>
      </c>
      <c r="C52" s="12">
        <f>'ELABORAZIONE ERRORI'!E12</f>
        <v>3.3</v>
      </c>
      <c r="D52" s="12">
        <f>'ELABORAZIONE ERRORI'!G12</f>
        <v>0.95</v>
      </c>
      <c r="E52" s="12" t="str">
        <f>'ELABORAZIONE ERRORI'!H12</f>
        <v/>
      </c>
      <c r="F52" s="12" t="str">
        <f>'ELABORAZIONE ERRORI'!J12</f>
        <v>2.8.0</v>
      </c>
      <c r="G52" s="12">
        <f>'ELABORAZIONE ERRORI'!L12</f>
        <v>-0.04</v>
      </c>
      <c r="H52" s="12">
        <f>'ELABORAZIONE ERRORI'!M12</f>
        <v>0</v>
      </c>
      <c r="I52" s="105">
        <f>'ELABORAZIONE ERRORI'!N12</f>
        <v>4.2999999999999997E-2</v>
      </c>
      <c r="J52" s="12">
        <f>'ELABORAZIONE ERRORI'!O12</f>
        <v>5.6999999999999995E-2</v>
      </c>
      <c r="K52" s="12">
        <f>'ELABORAZIONE ERRORI'!P12</f>
        <v>0.06</v>
      </c>
      <c r="L52" s="12">
        <f>'ELABORAZIONE ERRORI'!Q12</f>
        <v>1.05</v>
      </c>
      <c r="M52" s="12">
        <f>'ELABORAZIONE ERRORI'!R12</f>
        <v>0.93299999999999994</v>
      </c>
      <c r="N52" s="12">
        <f>'ELABORAZIONE ERRORI'!S12</f>
        <v>1.405</v>
      </c>
      <c r="O52" s="12" t="str">
        <f>'ELABORAZIONE ERRORI'!T12</f>
        <v>POSITIVO</v>
      </c>
      <c r="P52" s="12" t="str">
        <f>'ELABORAZIONE ERRORI'!U12</f>
        <v>CORRETTA</v>
      </c>
    </row>
    <row r="53" spans="1:21" x14ac:dyDescent="0.25">
      <c r="A53" s="12" t="str">
        <f>IF('ELABORAZIONE ERRORI'!A13='ELABORAZIONE ERRORI'!C13,'ELABORAZIONE ERRORI'!C13,"ERRORE")</f>
        <v>R3</v>
      </c>
      <c r="B53" s="12">
        <f>'ELABORAZIONE ERRORI'!D13</f>
        <v>100.1</v>
      </c>
      <c r="C53" s="12">
        <f>'ELABORAZIONE ERRORI'!E13</f>
        <v>3.29</v>
      </c>
      <c r="D53" s="12">
        <f>'ELABORAZIONE ERRORI'!G13</f>
        <v>0.96</v>
      </c>
      <c r="E53" s="12" t="str">
        <f>'ELABORAZIONE ERRORI'!H13</f>
        <v/>
      </c>
      <c r="F53" s="12" t="str">
        <f>'ELABORAZIONE ERRORI'!J13</f>
        <v>2.8.0</v>
      </c>
      <c r="G53" s="12">
        <f>'ELABORAZIONE ERRORI'!L13</f>
        <v>0.16999999999999998</v>
      </c>
      <c r="H53" s="12">
        <f>'ELABORAZIONE ERRORI'!M13</f>
        <v>0</v>
      </c>
      <c r="I53" s="105">
        <f>'ELABORAZIONE ERRORI'!N13</f>
        <v>4.2000000000000003E-2</v>
      </c>
      <c r="J53" s="12">
        <f>'ELABORAZIONE ERRORI'!O13</f>
        <v>6.2E-2</v>
      </c>
      <c r="K53" s="12">
        <f>'ELABORAZIONE ERRORI'!P13</f>
        <v>0.27399999999999997</v>
      </c>
      <c r="L53" s="12">
        <f>'ELABORAZIONE ERRORI'!Q13</f>
        <v>1.05</v>
      </c>
      <c r="M53" s="12">
        <f>'ELABORAZIONE ERRORI'!R13</f>
        <v>0.90749999999999997</v>
      </c>
      <c r="N53" s="12">
        <f>'ELABORAZIONE ERRORI'!S13</f>
        <v>1.3879999999999999</v>
      </c>
      <c r="O53" s="12" t="str">
        <f>'ELABORAZIONE ERRORI'!T13</f>
        <v>POSITIVO</v>
      </c>
      <c r="P53" s="12" t="str">
        <f>'ELABORAZIONE ERRORI'!U13</f>
        <v>CORRETTA</v>
      </c>
    </row>
    <row r="54" spans="1:21" x14ac:dyDescent="0.25">
      <c r="A54" s="12" t="str">
        <f>IF('ELABORAZIONE ERRORI'!A14='ELABORAZIONE ERRORI'!C14,'ELABORAZIONE ERRORI'!C14,"ERRORE")</f>
        <v>R4</v>
      </c>
      <c r="B54" s="12">
        <f>'ELABORAZIONE ERRORI'!D14</f>
        <v>99.9</v>
      </c>
      <c r="C54" s="12">
        <f>'ELABORAZIONE ERRORI'!E14</f>
        <v>3.3</v>
      </c>
      <c r="D54" s="12">
        <f>'ELABORAZIONE ERRORI'!G14</f>
        <v>0.97</v>
      </c>
      <c r="E54" s="12" t="str">
        <f>'ELABORAZIONE ERRORI'!H14</f>
        <v/>
      </c>
      <c r="F54" s="12" t="str">
        <f>'ELABORAZIONE ERRORI'!J14</f>
        <v>2.8.0</v>
      </c>
      <c r="G54" s="12">
        <f>'ELABORAZIONE ERRORI'!L14</f>
        <v>-6.7000000000000004E-2</v>
      </c>
      <c r="H54" s="12">
        <f>'ELABORAZIONE ERRORI'!M14</f>
        <v>0</v>
      </c>
      <c r="I54" s="105">
        <f>'ELABORAZIONE ERRORI'!N14</f>
        <v>4.1000000000000002E-2</v>
      </c>
      <c r="J54" s="12">
        <f>'ELABORAZIONE ERRORI'!O14</f>
        <v>6.7000000000000004E-2</v>
      </c>
      <c r="K54" s="12">
        <f>'ELABORAZIONE ERRORI'!P14</f>
        <v>4.1000000000000002E-2</v>
      </c>
      <c r="L54" s="12">
        <f>'ELABORAZIONE ERRORI'!Q14</f>
        <v>1.05</v>
      </c>
      <c r="M54" s="12">
        <f>'ELABORAZIONE ERRORI'!R14</f>
        <v>0.88350000000000006</v>
      </c>
      <c r="N54" s="12">
        <f>'ELABORAZIONE ERRORI'!S14</f>
        <v>1.3719999999999999</v>
      </c>
      <c r="O54" s="12" t="str">
        <f>'ELABORAZIONE ERRORI'!T14</f>
        <v>POSITIVO</v>
      </c>
      <c r="P54" s="12" t="str">
        <f>'ELABORAZIONE ERRORI'!U14</f>
        <v>CORRETTA</v>
      </c>
    </row>
    <row r="55" spans="1:21" x14ac:dyDescent="0.25">
      <c r="A55" s="12" t="str">
        <f>IF('ELABORAZIONE ERRORI'!A15='ELABORAZIONE ERRORI'!C15,'ELABORAZIONE ERRORI'!C15,"ERRORE")</f>
        <v>R5</v>
      </c>
      <c r="B55" s="12">
        <f>'ELABORAZIONE ERRORI'!D15</f>
        <v>99.9</v>
      </c>
      <c r="C55" s="12">
        <f>'ELABORAZIONE ERRORI'!E15</f>
        <v>3.3</v>
      </c>
      <c r="D55" s="12">
        <f>'ELABORAZIONE ERRORI'!G15</f>
        <v>0.98</v>
      </c>
      <c r="E55" s="12" t="str">
        <f>'ELABORAZIONE ERRORI'!H15</f>
        <v/>
      </c>
      <c r="F55" s="12" t="str">
        <f>'ELABORAZIONE ERRORI'!J15</f>
        <v>2.8.0</v>
      </c>
      <c r="G55" s="12">
        <f>'ELABORAZIONE ERRORI'!L15</f>
        <v>8.3000000000000004E-2</v>
      </c>
      <c r="H55" s="12">
        <f>'ELABORAZIONE ERRORI'!M15</f>
        <v>0</v>
      </c>
      <c r="I55" s="105">
        <f>'ELABORAZIONE ERRORI'!N15</f>
        <v>3.9E-2</v>
      </c>
      <c r="J55" s="12">
        <f>'ELABORAZIONE ERRORI'!O15</f>
        <v>7.3999999999999996E-2</v>
      </c>
      <c r="K55" s="12">
        <f>'ELABORAZIONE ERRORI'!P15</f>
        <v>0.19600000000000001</v>
      </c>
      <c r="L55" s="12">
        <f>'ELABORAZIONE ERRORI'!Q15</f>
        <v>1.05</v>
      </c>
      <c r="M55" s="12">
        <f>'ELABORAZIONE ERRORI'!R15</f>
        <v>0.8580000000000001</v>
      </c>
      <c r="N55" s="12">
        <f>'ELABORAZIONE ERRORI'!S15</f>
        <v>1.3559999999999999</v>
      </c>
      <c r="O55" s="12" t="str">
        <f>'ELABORAZIONE ERRORI'!T15</f>
        <v>POSITIVO</v>
      </c>
      <c r="P55" s="12" t="str">
        <f>'ELABORAZIONE ERRORI'!U15</f>
        <v>CORRETTA</v>
      </c>
    </row>
    <row r="56" spans="1:21" x14ac:dyDescent="0.25">
      <c r="A56" s="12" t="str">
        <f>IF('ELABORAZIONE ERRORI'!A16='ELABORAZIONE ERRORI'!C16,'ELABORAZIONE ERRORI'!C16,"ERRORE")</f>
        <v>R6</v>
      </c>
      <c r="B56" s="12">
        <f>'ELABORAZIONE ERRORI'!D16</f>
        <v>99.9</v>
      </c>
      <c r="C56" s="12">
        <f>'ELABORAZIONE ERRORI'!E16</f>
        <v>3.29</v>
      </c>
      <c r="D56" s="12">
        <f>'ELABORAZIONE ERRORI'!G16</f>
        <v>0.99</v>
      </c>
      <c r="E56" s="12" t="str">
        <f>'ELABORAZIONE ERRORI'!H16</f>
        <v/>
      </c>
      <c r="F56" s="12" t="str">
        <f>'ELABORAZIONE ERRORI'!J16</f>
        <v>2.8.0</v>
      </c>
      <c r="G56" s="12">
        <f>'ELABORAZIONE ERRORI'!L16</f>
        <v>0.08</v>
      </c>
      <c r="H56" s="12">
        <f>'ELABORAZIONE ERRORI'!M16</f>
        <v>0</v>
      </c>
      <c r="I56" s="105">
        <f>'ELABORAZIONE ERRORI'!N16</f>
        <v>3.7999999999999999E-2</v>
      </c>
      <c r="J56" s="12">
        <f>'ELABORAZIONE ERRORI'!O16</f>
        <v>8.0999999999999989E-2</v>
      </c>
      <c r="K56" s="12">
        <f>'ELABORAZIONE ERRORI'!P16</f>
        <v>0.19900000000000001</v>
      </c>
      <c r="L56" s="12">
        <f>'ELABORAZIONE ERRORI'!Q16</f>
        <v>1.05</v>
      </c>
      <c r="M56" s="12">
        <f>'ELABORAZIONE ERRORI'!R16</f>
        <v>0.83250000000000013</v>
      </c>
      <c r="N56" s="12">
        <f>'ELABORAZIONE ERRORI'!S16</f>
        <v>1.34</v>
      </c>
      <c r="O56" s="12" t="str">
        <f>'ELABORAZIONE ERRORI'!T16</f>
        <v>POSITIVO</v>
      </c>
      <c r="P56" s="12" t="str">
        <f>'ELABORAZIONE ERRORI'!U16</f>
        <v>CORRETTA</v>
      </c>
    </row>
    <row r="59" spans="1:21" ht="15.75" x14ac:dyDescent="0.25">
      <c r="A59" s="101" t="s">
        <v>701</v>
      </c>
    </row>
    <row r="60" spans="1:21" x14ac:dyDescent="0.25">
      <c r="A60" s="106" t="s">
        <v>702</v>
      </c>
      <c r="B60" s="106" t="s">
        <v>703</v>
      </c>
      <c r="C60" s="106" t="s">
        <v>704</v>
      </c>
      <c r="D60" s="106" t="s">
        <v>705</v>
      </c>
      <c r="E60" s="106" t="s">
        <v>200</v>
      </c>
      <c r="F60" s="1405" t="s">
        <v>706</v>
      </c>
      <c r="G60" s="1405"/>
      <c r="H60" s="106" t="s">
        <v>202</v>
      </c>
      <c r="I60" s="1405" t="s">
        <v>203</v>
      </c>
      <c r="J60" s="1405"/>
      <c r="K60" s="1405" t="s">
        <v>204</v>
      </c>
      <c r="L60" s="1405"/>
      <c r="M60" s="1405" t="s">
        <v>205</v>
      </c>
      <c r="N60" s="1405"/>
      <c r="O60" s="106" t="s">
        <v>206</v>
      </c>
      <c r="P60" s="1405" t="s">
        <v>207</v>
      </c>
      <c r="Q60" s="1405"/>
      <c r="R60" s="1405" t="s">
        <v>208</v>
      </c>
      <c r="S60" s="1405"/>
      <c r="T60" s="106" t="s">
        <v>209</v>
      </c>
      <c r="U60" s="106" t="s">
        <v>237</v>
      </c>
    </row>
    <row r="61" spans="1:21" x14ac:dyDescent="0.25">
      <c r="A61" s="106"/>
      <c r="B61" s="106"/>
      <c r="C61" s="106"/>
      <c r="D61" s="106"/>
      <c r="E61" s="13"/>
      <c r="F61" s="106" t="s">
        <v>707</v>
      </c>
      <c r="G61" s="106" t="s">
        <v>708</v>
      </c>
      <c r="H61" s="106"/>
      <c r="I61" s="106" t="s">
        <v>707</v>
      </c>
      <c r="J61" s="106" t="s">
        <v>708</v>
      </c>
      <c r="K61" s="106" t="s">
        <v>707</v>
      </c>
      <c r="L61" s="106" t="s">
        <v>708</v>
      </c>
      <c r="M61" s="106" t="s">
        <v>707</v>
      </c>
      <c r="N61" s="106" t="s">
        <v>708</v>
      </c>
      <c r="O61" s="106"/>
      <c r="P61" s="106" t="s">
        <v>707</v>
      </c>
      <c r="Q61" s="106" t="s">
        <v>708</v>
      </c>
      <c r="R61" s="106" t="s">
        <v>707</v>
      </c>
      <c r="S61" s="106" t="s">
        <v>708</v>
      </c>
      <c r="T61" s="106"/>
      <c r="U61" s="106"/>
    </row>
    <row r="62" spans="1:21" x14ac:dyDescent="0.25">
      <c r="A62" s="107" t="str">
        <f>IF(AND('ELABORAZIONE ERRORI'!A17='ELABORAZIONE ERRORI'!C17,'ELABORAZIONE ERRORI'!A18='ELABORAZIONE ERRORI'!C18),CONCATENATE('ELABORAZIONE ERRORI'!C17,"-",'ELABORAZIONE ERRORI'!C18),"ERRORE")</f>
        <v>F1-F2</v>
      </c>
      <c r="B62" s="108">
        <f>'ELABORAZIONE ERRORI'!F17</f>
        <v>0.05</v>
      </c>
      <c r="C62" s="12">
        <f>'ELABORAZIONE ERRORI'!E17</f>
        <v>0.25</v>
      </c>
      <c r="D62" s="12" t="s">
        <v>709</v>
      </c>
      <c r="E62" s="12" t="str">
        <f>'ELABORAZIONE ERRORI'!J17</f>
        <v>1.8.0</v>
      </c>
      <c r="F62" s="109">
        <f>'ELABORAZIONE ERRORI'!L17</f>
        <v>0.01</v>
      </c>
      <c r="G62" s="109">
        <f>'ELABORAZIONE ERRORI'!L18</f>
        <v>0.02</v>
      </c>
      <c r="H62" s="109">
        <f>'ELABORAZIONE ERRORI'!M17</f>
        <v>0</v>
      </c>
      <c r="I62" s="109">
        <f>'ELABORAZIONE ERRORI'!N17</f>
        <v>0.05</v>
      </c>
      <c r="J62" s="109">
        <f>'ELABORAZIONE ERRORI'!N18</f>
        <v>6.7000000000000004E-2</v>
      </c>
      <c r="K62" s="109">
        <f>'ELABORAZIONE ERRORI'!O17</f>
        <v>0.1</v>
      </c>
      <c r="L62" s="109">
        <f>'ELABORAZIONE ERRORI'!O18</f>
        <v>-0.125</v>
      </c>
      <c r="M62" s="109">
        <f>'ELABORAZIONE ERRORI'!P17</f>
        <v>0.16</v>
      </c>
      <c r="N62" s="109">
        <f>'ELABORAZIONE ERRORI'!P18</f>
        <v>-3.7999999999999999E-2</v>
      </c>
      <c r="O62" s="109">
        <f>'ELABORAZIONE ERRORI'!Q17</f>
        <v>1.05</v>
      </c>
      <c r="P62" s="109">
        <f>'ELABORAZIONE ERRORI'!R17</f>
        <v>1.1640000000000001</v>
      </c>
      <c r="Q62" s="109">
        <f>'ELABORAZIONE ERRORI'!R18</f>
        <v>3.7769999999999997</v>
      </c>
      <c r="R62" s="109">
        <f>'ELABORAZIONE ERRORI'!S17</f>
        <v>1.5680000000000001</v>
      </c>
      <c r="S62" s="109">
        <f>'ELABORAZIONE ERRORI'!S18</f>
        <v>3.92</v>
      </c>
      <c r="T62" s="109" t="str">
        <f>IF('ELABORAZIONE ERRORI'!T17='ELABORAZIONE ERRORI'!T18,'ELABORAZIONE ERRORI'!T17,"ERRORE")</f>
        <v>POSITIVO</v>
      </c>
      <c r="U62" s="109" t="str">
        <f>IF('ELABORAZIONE ERRORI'!U17='ELABORAZIONE ERRORI'!U18,'ELABORAZIONE ERRORI'!U17,"ERRORE")</f>
        <v>CORRETTA</v>
      </c>
    </row>
    <row r="63" spans="1:21" x14ac:dyDescent="0.25">
      <c r="A63" s="107" t="str">
        <f>IF(AND('ELABORAZIONE ERRORI'!A19='ELABORAZIONE ERRORI'!C19,'ELABORAZIONE ERRORI'!A20='ELABORAZIONE ERRORI'!C20),CONCATENATE('ELABORAZIONE ERRORI'!C19,"-",'ELABORAZIONE ERRORI'!C20),"ERRORE")</f>
        <v>F3-F4</v>
      </c>
      <c r="B63" s="108">
        <f>'ELABORAZIONE ERRORI'!F19</f>
        <v>0.2</v>
      </c>
      <c r="C63" s="12">
        <f>'ELABORAZIONE ERRORI'!E19</f>
        <v>1</v>
      </c>
      <c r="D63" s="12" t="s">
        <v>709</v>
      </c>
      <c r="E63" s="12" t="str">
        <f>'ELABORAZIONE ERRORI'!J19</f>
        <v>1.8.0</v>
      </c>
      <c r="F63" s="109">
        <f>'ELABORAZIONE ERRORI'!L19</f>
        <v>0.03</v>
      </c>
      <c r="G63" s="109">
        <f>'ELABORAZIONE ERRORI'!L20</f>
        <v>0.04</v>
      </c>
      <c r="H63" s="109">
        <f>'ELABORAZIONE ERRORI'!M19</f>
        <v>0</v>
      </c>
      <c r="I63" s="109">
        <f>'ELABORAZIONE ERRORI'!N19</f>
        <v>0.04</v>
      </c>
      <c r="J63" s="109">
        <f>'ELABORAZIONE ERRORI'!N20</f>
        <v>7.4999999999999997E-2</v>
      </c>
      <c r="K63" s="109">
        <f>'ELABORAZIONE ERRORI'!O19</f>
        <v>0.1</v>
      </c>
      <c r="L63" s="109">
        <f>'ELABORAZIONE ERRORI'!O20</f>
        <v>-0.125</v>
      </c>
      <c r="M63" s="109">
        <f>'ELABORAZIONE ERRORI'!P19</f>
        <v>0.16999999999999998</v>
      </c>
      <c r="N63" s="109">
        <f>'ELABORAZIONE ERRORI'!P20</f>
        <v>-0.01</v>
      </c>
      <c r="O63" s="109">
        <f>'ELABORAZIONE ERRORI'!Q19</f>
        <v>1.05</v>
      </c>
      <c r="P63" s="109">
        <f>'ELABORAZIONE ERRORI'!R19</f>
        <v>0.8085</v>
      </c>
      <c r="Q63" s="109">
        <f>'ELABORAZIONE ERRORI'!R20</f>
        <v>2.5935000000000001</v>
      </c>
      <c r="R63" s="109">
        <f>'ELABORAZIONE ERRORI'!S19</f>
        <v>1.325</v>
      </c>
      <c r="S63" s="109">
        <f>'ELABORAZIONE ERRORI'!S20</f>
        <v>2.798</v>
      </c>
      <c r="T63" s="109" t="str">
        <f>IF('ELABORAZIONE ERRORI'!T19='ELABORAZIONE ERRORI'!T20,'ELABORAZIONE ERRORI'!T19,"ERRORE")</f>
        <v>POSITIVO</v>
      </c>
      <c r="U63" s="109" t="str">
        <f>IF('ELABORAZIONE ERRORI'!U19='ELABORAZIONE ERRORI'!U20,'ELABORAZIONE ERRORI'!U19,"ERRORE")</f>
        <v>CORRETTA</v>
      </c>
    </row>
    <row r="64" spans="1:21" x14ac:dyDescent="0.25">
      <c r="A64" s="107" t="str">
        <f>IF(AND('ELABORAZIONE ERRORI'!A21='ELABORAZIONE ERRORI'!C21,'ELABORAZIONE ERRORI'!A22='ELABORAZIONE ERRORI'!C22),CONCATENATE('ELABORAZIONE ERRORI'!C21,"-",'ELABORAZIONE ERRORI'!C22),"ERRORE")</f>
        <v>F5-F6</v>
      </c>
      <c r="B64" s="108">
        <f>'ELABORAZIONE ERRORI'!F21</f>
        <v>1</v>
      </c>
      <c r="C64" s="12">
        <f>'ELABORAZIONE ERRORI'!E21</f>
        <v>5</v>
      </c>
      <c r="D64" s="12" t="s">
        <v>709</v>
      </c>
      <c r="E64" s="12" t="str">
        <f>'ELABORAZIONE ERRORI'!J21</f>
        <v>1.8.0</v>
      </c>
      <c r="F64" s="109">
        <f>'ELABORAZIONE ERRORI'!L21</f>
        <v>0.05</v>
      </c>
      <c r="G64" s="109">
        <f>'ELABORAZIONE ERRORI'!L22</f>
        <v>0.06</v>
      </c>
      <c r="H64" s="109">
        <f>'ELABORAZIONE ERRORI'!M21</f>
        <v>0</v>
      </c>
      <c r="I64" s="109">
        <f>'ELABORAZIONE ERRORI'!N21</f>
        <v>0.03</v>
      </c>
      <c r="J64" s="109">
        <f>'ELABORAZIONE ERRORI'!N22</f>
        <v>8.2000000000000003E-2</v>
      </c>
      <c r="K64" s="109">
        <f>'ELABORAZIONE ERRORI'!O21</f>
        <v>0.1</v>
      </c>
      <c r="L64" s="109">
        <f>'ELABORAZIONE ERRORI'!O22</f>
        <v>-0.125</v>
      </c>
      <c r="M64" s="109">
        <f>'ELABORAZIONE ERRORI'!P21</f>
        <v>0.18</v>
      </c>
      <c r="N64" s="109">
        <f>'ELABORAZIONE ERRORI'!P22</f>
        <v>1.7000000000000001E-2</v>
      </c>
      <c r="O64" s="109">
        <f>'ELABORAZIONE ERRORI'!Q21</f>
        <v>1.05</v>
      </c>
      <c r="P64" s="109">
        <f>'ELABORAZIONE ERRORI'!R21</f>
        <v>0.8085</v>
      </c>
      <c r="Q64" s="109">
        <f>'ELABORAZIONE ERRORI'!R22</f>
        <v>2.5935000000000001</v>
      </c>
      <c r="R64" s="109">
        <f>'ELABORAZIONE ERRORI'!S21</f>
        <v>1.325</v>
      </c>
      <c r="S64" s="109">
        <f>'ELABORAZIONE ERRORI'!S22</f>
        <v>2.798</v>
      </c>
      <c r="T64" s="109" t="str">
        <f>IF('ELABORAZIONE ERRORI'!T21='ELABORAZIONE ERRORI'!T22,'ELABORAZIONE ERRORI'!T21,"ERRORE")</f>
        <v>POSITIVO</v>
      </c>
      <c r="U64" s="109" t="str">
        <f>IF('ELABORAZIONE ERRORI'!U21='ELABORAZIONE ERRORI'!U22,'ELABORAZIONE ERRORI'!U21,"ERRORE")</f>
        <v>CORRETTA</v>
      </c>
    </row>
    <row r="65" spans="1:21" x14ac:dyDescent="0.25">
      <c r="A65" s="107" t="str">
        <f>IF(AND('ELABORAZIONE ERRORI'!A23='ELABORAZIONE ERRORI'!C23,'ELABORAZIONE ERRORI'!A24='ELABORAZIONE ERRORI'!C24),CONCATENATE('ELABORAZIONE ERRORI'!C23,"-",'ELABORAZIONE ERRORI'!C24),"ERRORE")</f>
        <v>F7-F8</v>
      </c>
      <c r="B65" s="108">
        <f>'ELABORAZIONE ERRORI'!F23</f>
        <v>1.2</v>
      </c>
      <c r="C65" s="12">
        <f>'ELABORAZIONE ERRORI'!E23</f>
        <v>6</v>
      </c>
      <c r="D65" s="12" t="s">
        <v>709</v>
      </c>
      <c r="E65" s="12" t="str">
        <f>'ELABORAZIONE ERRORI'!J23</f>
        <v>1.8.0</v>
      </c>
      <c r="F65" s="109">
        <f>'ELABORAZIONE ERRORI'!L23</f>
        <v>6.9999999999999993E-2</v>
      </c>
      <c r="G65" s="109">
        <f>'ELABORAZIONE ERRORI'!L24</f>
        <v>0.08</v>
      </c>
      <c r="H65" s="109">
        <f>'ELABORAZIONE ERRORI'!M23</f>
        <v>0</v>
      </c>
      <c r="I65" s="109">
        <f>'ELABORAZIONE ERRORI'!N23</f>
        <v>0.01</v>
      </c>
      <c r="J65" s="109">
        <f>'ELABORAZIONE ERRORI'!N24</f>
        <v>7.9000000000000001E-2</v>
      </c>
      <c r="K65" s="109">
        <f>'ELABORAZIONE ERRORI'!O23</f>
        <v>0.1</v>
      </c>
      <c r="L65" s="109">
        <f>'ELABORAZIONE ERRORI'!O24</f>
        <v>-0.125</v>
      </c>
      <c r="M65" s="109">
        <f>'ELABORAZIONE ERRORI'!P23</f>
        <v>0.18</v>
      </c>
      <c r="N65" s="109">
        <f>'ELABORAZIONE ERRORI'!P24</f>
        <v>3.4000000000000002E-2</v>
      </c>
      <c r="O65" s="109">
        <f>'ELABORAZIONE ERRORI'!Q23</f>
        <v>1.05</v>
      </c>
      <c r="P65" s="109">
        <f>'ELABORAZIONE ERRORI'!R23</f>
        <v>0.8085</v>
      </c>
      <c r="Q65" s="109">
        <f>'ELABORAZIONE ERRORI'!R24</f>
        <v>2.5935000000000001</v>
      </c>
      <c r="R65" s="109">
        <f>'ELABORAZIONE ERRORI'!S23</f>
        <v>1.325</v>
      </c>
      <c r="S65" s="109">
        <f>'ELABORAZIONE ERRORI'!S24</f>
        <v>2.798</v>
      </c>
      <c r="T65" s="109" t="str">
        <f>IF('ELABORAZIONE ERRORI'!T23='ELABORAZIONE ERRORI'!T24,'ELABORAZIONE ERRORI'!T23,"ERRORE")</f>
        <v>POSITIVO</v>
      </c>
      <c r="U65" s="109" t="str">
        <f>IF('ELABORAZIONE ERRORI'!U23='ELABORAZIONE ERRORI'!U24,'ELABORAZIONE ERRORI'!U23,"ERRORE")</f>
        <v>CORRETTA</v>
      </c>
    </row>
    <row r="66" spans="1:21" x14ac:dyDescent="0.25">
      <c r="A66" s="107" t="str">
        <f>IF('ELABORAZIONE ERRORI'!A25='ELABORAZIONE ERRORI'!C25,'ELABORAZIONE ERRORI'!C25,"ERRORE")</f>
        <v>F9</v>
      </c>
      <c r="B66" s="108">
        <f>'ELABORAZIONE ERRORI'!F25</f>
        <v>1</v>
      </c>
      <c r="C66" s="12">
        <f>'ELABORAZIONE ERRORI'!E25</f>
        <v>5</v>
      </c>
      <c r="D66" s="12" t="s">
        <v>710</v>
      </c>
      <c r="E66" s="12" t="str">
        <f>'ELABORAZIONE ERRORI'!J25</f>
        <v>1.8.0</v>
      </c>
      <c r="F66" s="109">
        <f>'ELABORAZIONE ERRORI'!L25</f>
        <v>0.09</v>
      </c>
      <c r="G66" s="109"/>
      <c r="H66" s="109">
        <f>'ELABORAZIONE ERRORI'!M25</f>
        <v>0</v>
      </c>
      <c r="I66" s="109">
        <f>'ELABORAZIONE ERRORI'!N25</f>
        <v>0.03</v>
      </c>
      <c r="J66" s="109"/>
      <c r="K66" s="109">
        <f>'ELABORAZIONE ERRORI'!O25</f>
        <v>0.1</v>
      </c>
      <c r="L66" s="109"/>
      <c r="M66" s="109">
        <f>'ELABORAZIONE ERRORI'!P25</f>
        <v>0.22</v>
      </c>
      <c r="N66" s="109">
        <f>'ELABORAZIONE ERRORI'!P26</f>
        <v>0</v>
      </c>
      <c r="O66" s="109">
        <f>'ELABORAZIONE ERRORI'!Q25</f>
        <v>1.5</v>
      </c>
      <c r="P66" s="109">
        <f>'ELABORAZIONE ERRORI'!R25</f>
        <v>0.8085</v>
      </c>
      <c r="Q66" s="109"/>
      <c r="R66" s="109">
        <f>'ELABORAZIONE ERRORI'!S25</f>
        <v>1.704</v>
      </c>
      <c r="S66" s="109"/>
      <c r="T66" s="109" t="str">
        <f>'ELABORAZIONE ERRORI'!T25</f>
        <v>POSITIVO</v>
      </c>
      <c r="U66" s="109" t="str">
        <f>'ELABORAZIONE ERRORI'!U25</f>
        <v>CORRETTA</v>
      </c>
    </row>
    <row r="67" spans="1:21" x14ac:dyDescent="0.25">
      <c r="A67" s="107" t="str">
        <f>IF('ELABORAZIONE ERRORI'!A26='ELABORAZIONE ERRORI'!C26,'ELABORAZIONE ERRORI'!C26,"ERRORE")</f>
        <v>ERRORE</v>
      </c>
      <c r="B67" s="108">
        <f>'ELABORAZIONE ERRORI'!F26</f>
        <v>0</v>
      </c>
      <c r="C67" s="12">
        <f>'ELABORAZIONE ERRORI'!E26</f>
        <v>0</v>
      </c>
      <c r="D67" s="12" t="s">
        <v>711</v>
      </c>
      <c r="E67" s="12">
        <f>'ELABORAZIONE ERRORI'!J26</f>
        <v>0</v>
      </c>
      <c r="F67" s="109">
        <f>'ELABORAZIONE ERRORI'!L26</f>
        <v>0</v>
      </c>
      <c r="G67" s="109"/>
      <c r="H67" s="109">
        <f>'ELABORAZIONE ERRORI'!M26</f>
        <v>0</v>
      </c>
      <c r="I67" s="109">
        <f>'ELABORAZIONE ERRORI'!N26</f>
        <v>0</v>
      </c>
      <c r="J67" s="109"/>
      <c r="K67" s="109">
        <f>'ELABORAZIONE ERRORI'!O26</f>
        <v>0</v>
      </c>
      <c r="L67" s="109"/>
      <c r="M67" s="109">
        <f>'ELABORAZIONE ERRORI'!P26</f>
        <v>0</v>
      </c>
      <c r="N67" s="109">
        <f>'ELABORAZIONE ERRORI'!P27</f>
        <v>0</v>
      </c>
      <c r="O67" s="109">
        <f>'ELABORAZIONE ERRORI'!Q26</f>
        <v>0</v>
      </c>
      <c r="P67" s="109">
        <f>'ELABORAZIONE ERRORI'!R26</f>
        <v>0</v>
      </c>
      <c r="Q67" s="109"/>
      <c r="R67" s="109">
        <f>'ELABORAZIONE ERRORI'!S26</f>
        <v>0</v>
      </c>
      <c r="S67" s="109"/>
      <c r="T67" s="109">
        <f>'ELABORAZIONE ERRORI'!T26</f>
        <v>0</v>
      </c>
      <c r="U67" s="109">
        <f>'ELABORAZIONE ERRORI'!U26</f>
        <v>0</v>
      </c>
    </row>
    <row r="68" spans="1:21" x14ac:dyDescent="0.25">
      <c r="A68" s="107" t="str">
        <f>IF('ELABORAZIONE ERRORI'!A27='ELABORAZIONE ERRORI'!C27,'ELABORAZIONE ERRORI'!C27,"ERRORE")</f>
        <v>ERRORE</v>
      </c>
      <c r="B68" s="108">
        <f>'ELABORAZIONE ERRORI'!F27</f>
        <v>0</v>
      </c>
      <c r="C68" s="12">
        <f>'ELABORAZIONE ERRORI'!E27</f>
        <v>0</v>
      </c>
      <c r="D68" s="12" t="s">
        <v>712</v>
      </c>
      <c r="E68" s="12">
        <f>'ELABORAZIONE ERRORI'!J27</f>
        <v>0</v>
      </c>
      <c r="F68" s="109">
        <f>'ELABORAZIONE ERRORI'!L27</f>
        <v>0</v>
      </c>
      <c r="G68" s="109"/>
      <c r="H68" s="109">
        <f>'ELABORAZIONE ERRORI'!M27</f>
        <v>0</v>
      </c>
      <c r="I68" s="109">
        <f>'ELABORAZIONE ERRORI'!N27</f>
        <v>0</v>
      </c>
      <c r="J68" s="109"/>
      <c r="K68" s="109">
        <f>'ELABORAZIONE ERRORI'!O27</f>
        <v>0</v>
      </c>
      <c r="L68" s="109"/>
      <c r="M68" s="109">
        <f>'ELABORAZIONE ERRORI'!P27</f>
        <v>0</v>
      </c>
      <c r="N68" s="109">
        <f>'ELABORAZIONE ERRORI'!P28</f>
        <v>0.25</v>
      </c>
      <c r="O68" s="109">
        <f>'ELABORAZIONE ERRORI'!Q27</f>
        <v>0</v>
      </c>
      <c r="P68" s="109">
        <f>'ELABORAZIONE ERRORI'!R27</f>
        <v>0</v>
      </c>
      <c r="Q68" s="109"/>
      <c r="R68" s="109">
        <f>'ELABORAZIONE ERRORI'!S27</f>
        <v>0</v>
      </c>
      <c r="S68" s="109"/>
      <c r="T68" s="109">
        <f>'ELABORAZIONE ERRORI'!T27</f>
        <v>0</v>
      </c>
      <c r="U68" s="109">
        <f>'ELABORAZIONE ERRORI'!U27</f>
        <v>0</v>
      </c>
    </row>
    <row r="69" spans="1:21" x14ac:dyDescent="0.25">
      <c r="A69" s="107" t="str">
        <f>IF(AND('ELABORAZIONE ERRORI'!A28='ELABORAZIONE ERRORI'!C28,'ELABORAZIONE ERRORI'!A29='ELABORAZIONE ERRORI'!C29),CONCATENATE('ELABORAZIONE ERRORI'!C28,"-",'ELABORAZIONE ERRORI'!C29),"ERRORE")</f>
        <v>F12-F13</v>
      </c>
      <c r="B69" s="108">
        <f>'ELABORAZIONE ERRORI'!F28</f>
        <v>0.05</v>
      </c>
      <c r="C69" s="12">
        <f>'ELABORAZIONE ERRORI'!E28</f>
        <v>0.25</v>
      </c>
      <c r="D69" s="12" t="s">
        <v>709</v>
      </c>
      <c r="E69" s="12" t="str">
        <f>'ELABORAZIONE ERRORI'!J28</f>
        <v>2.8.0</v>
      </c>
      <c r="F69" s="109">
        <f>'ELABORAZIONE ERRORI'!L28</f>
        <v>0.1</v>
      </c>
      <c r="G69" s="109">
        <f>'ELABORAZIONE ERRORI'!L29</f>
        <v>0.11</v>
      </c>
      <c r="H69" s="109">
        <f>'ELABORAZIONE ERRORI'!M28</f>
        <v>0</v>
      </c>
      <c r="I69" s="109">
        <f>'ELABORAZIONE ERRORI'!N28</f>
        <v>0.05</v>
      </c>
      <c r="J69" s="109">
        <f>'ELABORAZIONE ERRORI'!N29</f>
        <v>6.7000000000000004E-2</v>
      </c>
      <c r="K69" s="109">
        <f>'ELABORAZIONE ERRORI'!O28</f>
        <v>0.1</v>
      </c>
      <c r="L69" s="109">
        <f>'ELABORAZIONE ERRORI'!O29</f>
        <v>-0.125</v>
      </c>
      <c r="M69" s="109">
        <f>'ELABORAZIONE ERRORI'!P28</f>
        <v>0.25</v>
      </c>
      <c r="N69" s="109">
        <f>'ELABORAZIONE ERRORI'!P29</f>
        <v>5.1999999999999998E-2</v>
      </c>
      <c r="O69" s="109">
        <f>'ELABORAZIONE ERRORI'!Q28</f>
        <v>1.05</v>
      </c>
      <c r="P69" s="109">
        <f>'ELABORAZIONE ERRORI'!R28</f>
        <v>1.1640000000000001</v>
      </c>
      <c r="Q69" s="109">
        <f>'ELABORAZIONE ERRORI'!R29</f>
        <v>3.7769999999999997</v>
      </c>
      <c r="R69" s="109">
        <f>'ELABORAZIONE ERRORI'!S28</f>
        <v>1.5680000000000001</v>
      </c>
      <c r="S69" s="109">
        <f>'ELABORAZIONE ERRORI'!S29</f>
        <v>3.92</v>
      </c>
      <c r="T69" s="109" t="str">
        <f>IF('ELABORAZIONE ERRORI'!T28='ELABORAZIONE ERRORI'!T29,'ELABORAZIONE ERRORI'!T28,"ERRORE")</f>
        <v>POSITIVO</v>
      </c>
      <c r="U69" s="109" t="str">
        <f>IF('ELABORAZIONE ERRORI'!U28='ELABORAZIONE ERRORI'!U29,'ELABORAZIONE ERRORI'!U28,"ERRORE")</f>
        <v>CORRETTA</v>
      </c>
    </row>
    <row r="70" spans="1:21" x14ac:dyDescent="0.25">
      <c r="A70" s="107" t="str">
        <f>IF(AND('ELABORAZIONE ERRORI'!A30='ELABORAZIONE ERRORI'!C30,'ELABORAZIONE ERRORI'!A31='ELABORAZIONE ERRORI'!C31),CONCATENATE('ELABORAZIONE ERRORI'!C30,"-",'ELABORAZIONE ERRORI'!C31),"ERRORE")</f>
        <v>F14-F15</v>
      </c>
      <c r="B70" s="108">
        <f>'ELABORAZIONE ERRORI'!F30</f>
        <v>0.2</v>
      </c>
      <c r="C70" s="12">
        <f>'ELABORAZIONE ERRORI'!E30</f>
        <v>1</v>
      </c>
      <c r="D70" s="12" t="s">
        <v>709</v>
      </c>
      <c r="E70" s="12" t="str">
        <f>'ELABORAZIONE ERRORI'!J30</f>
        <v>2.8.0</v>
      </c>
      <c r="F70" s="109">
        <f>'ELABORAZIONE ERRORI'!L30</f>
        <v>0.12</v>
      </c>
      <c r="G70" s="109">
        <f>'ELABORAZIONE ERRORI'!L31</f>
        <v>0.13</v>
      </c>
      <c r="H70" s="109">
        <f>'ELABORAZIONE ERRORI'!M30</f>
        <v>0</v>
      </c>
      <c r="I70" s="109">
        <f>'ELABORAZIONE ERRORI'!N30</f>
        <v>0.04</v>
      </c>
      <c r="J70" s="109">
        <f>'ELABORAZIONE ERRORI'!N31</f>
        <v>7.4999999999999997E-2</v>
      </c>
      <c r="K70" s="109">
        <f>'ELABORAZIONE ERRORI'!O30</f>
        <v>0.1</v>
      </c>
      <c r="L70" s="109">
        <f>'ELABORAZIONE ERRORI'!O31</f>
        <v>-0.125</v>
      </c>
      <c r="M70" s="109">
        <f>'ELABORAZIONE ERRORI'!P30</f>
        <v>0.26</v>
      </c>
      <c r="N70" s="109">
        <f>'ELABORAZIONE ERRORI'!P31</f>
        <v>0.08</v>
      </c>
      <c r="O70" s="109">
        <f>'ELABORAZIONE ERRORI'!Q30</f>
        <v>1.05</v>
      </c>
      <c r="P70" s="109">
        <f>'ELABORAZIONE ERRORI'!R30</f>
        <v>0.8085</v>
      </c>
      <c r="Q70" s="109">
        <f>'ELABORAZIONE ERRORI'!R31</f>
        <v>2.5935000000000001</v>
      </c>
      <c r="R70" s="109">
        <f>'ELABORAZIONE ERRORI'!S30</f>
        <v>1.325</v>
      </c>
      <c r="S70" s="109">
        <f>'ELABORAZIONE ERRORI'!S31</f>
        <v>2.798</v>
      </c>
      <c r="T70" s="109" t="str">
        <f>IF('ELABORAZIONE ERRORI'!T30='ELABORAZIONE ERRORI'!T31,'ELABORAZIONE ERRORI'!T30,"ERRORE")</f>
        <v>POSITIVO</v>
      </c>
      <c r="U70" s="109" t="str">
        <f>IF('ELABORAZIONE ERRORI'!U30='ELABORAZIONE ERRORI'!U31,'ELABORAZIONE ERRORI'!U30,"ERRORE")</f>
        <v>CORRETTA</v>
      </c>
    </row>
    <row r="71" spans="1:21" x14ac:dyDescent="0.25">
      <c r="A71" s="107" t="str">
        <f>IF(AND('ELABORAZIONE ERRORI'!A32='ELABORAZIONE ERRORI'!C32,'ELABORAZIONE ERRORI'!A33='ELABORAZIONE ERRORI'!C33),CONCATENATE('ELABORAZIONE ERRORI'!C32,"-",'ELABORAZIONE ERRORI'!C33),"ERRORE")</f>
        <v>F16-F17</v>
      </c>
      <c r="B71" s="108">
        <f>'ELABORAZIONE ERRORI'!F32</f>
        <v>1</v>
      </c>
      <c r="C71" s="12">
        <f>'ELABORAZIONE ERRORI'!E32</f>
        <v>5</v>
      </c>
      <c r="D71" s="12" t="s">
        <v>709</v>
      </c>
      <c r="E71" s="12" t="str">
        <f>'ELABORAZIONE ERRORI'!J32</f>
        <v>2.8.0</v>
      </c>
      <c r="F71" s="109">
        <f>'ELABORAZIONE ERRORI'!L32</f>
        <v>0.13999999999999999</v>
      </c>
      <c r="G71" s="109">
        <f>'ELABORAZIONE ERRORI'!L33</f>
        <v>0.15</v>
      </c>
      <c r="H71" s="109">
        <f>'ELABORAZIONE ERRORI'!M32</f>
        <v>0</v>
      </c>
      <c r="I71" s="109">
        <f>'ELABORAZIONE ERRORI'!N32</f>
        <v>0.03</v>
      </c>
      <c r="J71" s="109">
        <f>'ELABORAZIONE ERRORI'!N33</f>
        <v>8.2000000000000003E-2</v>
      </c>
      <c r="K71" s="109">
        <f>'ELABORAZIONE ERRORI'!O32</f>
        <v>0.1</v>
      </c>
      <c r="L71" s="109">
        <f>'ELABORAZIONE ERRORI'!O33</f>
        <v>-0.125</v>
      </c>
      <c r="M71" s="109">
        <f>'ELABORAZIONE ERRORI'!P32</f>
        <v>0.27</v>
      </c>
      <c r="N71" s="109">
        <f>'ELABORAZIONE ERRORI'!P33</f>
        <v>0.107</v>
      </c>
      <c r="O71" s="109">
        <f>'ELABORAZIONE ERRORI'!Q32</f>
        <v>1.05</v>
      </c>
      <c r="P71" s="109">
        <f>'ELABORAZIONE ERRORI'!R32</f>
        <v>0.8085</v>
      </c>
      <c r="Q71" s="109">
        <f>'ELABORAZIONE ERRORI'!R33</f>
        <v>2.5935000000000001</v>
      </c>
      <c r="R71" s="109">
        <f>'ELABORAZIONE ERRORI'!S32</f>
        <v>1.325</v>
      </c>
      <c r="S71" s="109">
        <f>'ELABORAZIONE ERRORI'!S33</f>
        <v>2.798</v>
      </c>
      <c r="T71" s="109" t="str">
        <f>IF('ELABORAZIONE ERRORI'!T32='ELABORAZIONE ERRORI'!T33,'ELABORAZIONE ERRORI'!T32,"ERRORE")</f>
        <v>POSITIVO</v>
      </c>
      <c r="U71" s="109" t="str">
        <f>IF('ELABORAZIONE ERRORI'!U32='ELABORAZIONE ERRORI'!U33,'ELABORAZIONE ERRORI'!U32,"ERRORE")</f>
        <v>CORRETTA</v>
      </c>
    </row>
    <row r="72" spans="1:21" x14ac:dyDescent="0.25">
      <c r="A72" s="107" t="str">
        <f>IF(AND('ELABORAZIONE ERRORI'!A34='ELABORAZIONE ERRORI'!C34,'ELABORAZIONE ERRORI'!A35='ELABORAZIONE ERRORI'!C35),CONCATENATE('ELABORAZIONE ERRORI'!C34,"-",'ELABORAZIONE ERRORI'!C35),"ERRORE")</f>
        <v>F18-F19</v>
      </c>
      <c r="B72" s="108">
        <f>'ELABORAZIONE ERRORI'!F34</f>
        <v>1.2</v>
      </c>
      <c r="C72" s="12">
        <f>'ELABORAZIONE ERRORI'!E34</f>
        <v>6</v>
      </c>
      <c r="D72" s="12" t="s">
        <v>709</v>
      </c>
      <c r="E72" s="12" t="str">
        <f>'ELABORAZIONE ERRORI'!J34</f>
        <v>2.8.0</v>
      </c>
      <c r="F72" s="109">
        <f>'ELABORAZIONE ERRORI'!L34</f>
        <v>0.16</v>
      </c>
      <c r="G72" s="109">
        <f>'ELABORAZIONE ERRORI'!L35</f>
        <v>0.16999999999999998</v>
      </c>
      <c r="H72" s="109">
        <f>'ELABORAZIONE ERRORI'!M34</f>
        <v>0</v>
      </c>
      <c r="I72" s="109">
        <f>'ELABORAZIONE ERRORI'!N34</f>
        <v>0.01</v>
      </c>
      <c r="J72" s="109">
        <f>'ELABORAZIONE ERRORI'!N35</f>
        <v>7.9000000000000001E-2</v>
      </c>
      <c r="K72" s="109">
        <f>'ELABORAZIONE ERRORI'!O34</f>
        <v>0.1</v>
      </c>
      <c r="L72" s="109">
        <f>'ELABORAZIONE ERRORI'!O35</f>
        <v>-0.125</v>
      </c>
      <c r="M72" s="109">
        <f>'ELABORAZIONE ERRORI'!P34</f>
        <v>0.27</v>
      </c>
      <c r="N72" s="109">
        <f>'ELABORAZIONE ERRORI'!P35</f>
        <v>0.124</v>
      </c>
      <c r="O72" s="109">
        <f>'ELABORAZIONE ERRORI'!Q34</f>
        <v>1.05</v>
      </c>
      <c r="P72" s="109">
        <f>'ELABORAZIONE ERRORI'!R34</f>
        <v>0.8085</v>
      </c>
      <c r="Q72" s="109">
        <f>'ELABORAZIONE ERRORI'!R35</f>
        <v>2.5935000000000001</v>
      </c>
      <c r="R72" s="109">
        <f>'ELABORAZIONE ERRORI'!S34</f>
        <v>1.325</v>
      </c>
      <c r="S72" s="109">
        <f>'ELABORAZIONE ERRORI'!S35</f>
        <v>2.798</v>
      </c>
      <c r="T72" s="109" t="str">
        <f>IF('ELABORAZIONE ERRORI'!T34='ELABORAZIONE ERRORI'!T35,'ELABORAZIONE ERRORI'!T34,"ERRORE")</f>
        <v>POSITIVO</v>
      </c>
      <c r="U72" s="109" t="str">
        <f>IF('ELABORAZIONE ERRORI'!U34='ELABORAZIONE ERRORI'!U35,'ELABORAZIONE ERRORI'!U34,"ERRORE")</f>
        <v>CORRETTA</v>
      </c>
    </row>
    <row r="73" spans="1:21" x14ac:dyDescent="0.25">
      <c r="A73" s="107" t="str">
        <f>IF('ELABORAZIONE ERRORI'!A36='ELABORAZIONE ERRORI'!C36,'ELABORAZIONE ERRORI'!C36,"ERRORE")</f>
        <v>F20</v>
      </c>
      <c r="B73" s="108">
        <f>'ELABORAZIONE ERRORI'!F36</f>
        <v>1</v>
      </c>
      <c r="C73" s="12">
        <f>'ELABORAZIONE ERRORI'!E36</f>
        <v>5</v>
      </c>
      <c r="D73" s="12" t="s">
        <v>710</v>
      </c>
      <c r="E73" s="12" t="str">
        <f>'ELABORAZIONE ERRORI'!J36</f>
        <v>2.8.0</v>
      </c>
      <c r="F73" s="109">
        <f>'ELABORAZIONE ERRORI'!L36</f>
        <v>0.18</v>
      </c>
      <c r="G73" s="109"/>
      <c r="H73" s="109">
        <f>'ELABORAZIONE ERRORI'!M36</f>
        <v>0</v>
      </c>
      <c r="I73" s="109">
        <v>0</v>
      </c>
      <c r="J73" s="109"/>
      <c r="K73" s="109">
        <f>'ELABORAZIONE ERRORI'!O36</f>
        <v>0.1</v>
      </c>
      <c r="L73" s="109"/>
      <c r="M73" s="109">
        <f>'ELABORAZIONE ERRORI'!P36</f>
        <v>0.31</v>
      </c>
      <c r="N73" s="109"/>
      <c r="O73" s="109">
        <f>'ELABORAZIONE ERRORI'!Q36</f>
        <v>1.5</v>
      </c>
      <c r="P73" s="109">
        <f>'ELABORAZIONE ERRORI'!R36</f>
        <v>0.8085</v>
      </c>
      <c r="Q73" s="109"/>
      <c r="R73" s="109">
        <f>'ELABORAZIONE ERRORI'!S36</f>
        <v>1.704</v>
      </c>
      <c r="S73" s="109"/>
      <c r="T73" s="109" t="str">
        <f>'ELABORAZIONE ERRORI'!T36</f>
        <v>POSITIVO</v>
      </c>
      <c r="U73" s="109" t="str">
        <f>'ELABORAZIONE ERRORI'!U36</f>
        <v>CORRETTA</v>
      </c>
    </row>
    <row r="74" spans="1:21" x14ac:dyDescent="0.25">
      <c r="A74" s="107" t="str">
        <f>IF('ELABORAZIONE ERRORI'!A37='ELABORAZIONE ERRORI'!C37,'ELABORAZIONE ERRORI'!C37,"ERRORE")</f>
        <v>ERRORE</v>
      </c>
      <c r="B74" s="108">
        <f>'ELABORAZIONE ERRORI'!F37</f>
        <v>0</v>
      </c>
      <c r="C74" s="12">
        <f>'ELABORAZIONE ERRORI'!E37</f>
        <v>0</v>
      </c>
      <c r="D74" s="12" t="s">
        <v>711</v>
      </c>
      <c r="E74" s="12">
        <f>'ELABORAZIONE ERRORI'!J37</f>
        <v>0</v>
      </c>
      <c r="F74" s="109">
        <f>'ELABORAZIONE ERRORI'!L37</f>
        <v>0</v>
      </c>
      <c r="G74" s="109"/>
      <c r="H74" s="109">
        <f>'ELABORAZIONE ERRORI'!M37</f>
        <v>0</v>
      </c>
      <c r="I74" s="109">
        <v>0</v>
      </c>
      <c r="J74" s="109"/>
      <c r="K74" s="109">
        <f>'ELABORAZIONE ERRORI'!O37</f>
        <v>0</v>
      </c>
      <c r="L74" s="109"/>
      <c r="M74" s="109">
        <f>'ELABORAZIONE ERRORI'!P37</f>
        <v>0</v>
      </c>
      <c r="N74" s="109"/>
      <c r="O74" s="109">
        <f>'ELABORAZIONE ERRORI'!Q37</f>
        <v>0</v>
      </c>
      <c r="P74" s="109">
        <f>'ELABORAZIONE ERRORI'!R37</f>
        <v>0</v>
      </c>
      <c r="Q74" s="109"/>
      <c r="R74" s="109">
        <f>'ELABORAZIONE ERRORI'!S37</f>
        <v>0</v>
      </c>
      <c r="S74" s="109"/>
      <c r="T74" s="109">
        <f>'ELABORAZIONE ERRORI'!T37</f>
        <v>0</v>
      </c>
      <c r="U74" s="109">
        <f>'ELABORAZIONE ERRORI'!U37</f>
        <v>0</v>
      </c>
    </row>
    <row r="75" spans="1:21" x14ac:dyDescent="0.25">
      <c r="A75" s="107" t="str">
        <f>IF('ELABORAZIONE ERRORI'!A38='ELABORAZIONE ERRORI'!C38,'ELABORAZIONE ERRORI'!C38,"ERRORE")</f>
        <v>ERRORE</v>
      </c>
      <c r="B75" s="108">
        <f>'ELABORAZIONE ERRORI'!F38</f>
        <v>0</v>
      </c>
      <c r="C75" s="12">
        <f>'ELABORAZIONE ERRORI'!E38</f>
        <v>0</v>
      </c>
      <c r="D75" s="12" t="s">
        <v>712</v>
      </c>
      <c r="E75" s="12">
        <f>'ELABORAZIONE ERRORI'!J38</f>
        <v>0</v>
      </c>
      <c r="F75" s="109">
        <f>'ELABORAZIONE ERRORI'!L38</f>
        <v>0</v>
      </c>
      <c r="G75" s="109"/>
      <c r="H75" s="109">
        <f>'ELABORAZIONE ERRORI'!M38</f>
        <v>0</v>
      </c>
      <c r="I75" s="109">
        <v>0</v>
      </c>
      <c r="J75" s="109"/>
      <c r="K75" s="109">
        <f>'ELABORAZIONE ERRORI'!O38</f>
        <v>0</v>
      </c>
      <c r="L75" s="109"/>
      <c r="M75" s="109">
        <f>'ELABORAZIONE ERRORI'!P38</f>
        <v>0</v>
      </c>
      <c r="N75" s="109"/>
      <c r="O75" s="109">
        <f>'ELABORAZIONE ERRORI'!Q38</f>
        <v>0</v>
      </c>
      <c r="P75" s="109">
        <f>'ELABORAZIONE ERRORI'!R38</f>
        <v>0</v>
      </c>
      <c r="Q75" s="109"/>
      <c r="R75" s="109">
        <f>'ELABORAZIONE ERRORI'!S38</f>
        <v>0</v>
      </c>
      <c r="S75" s="109"/>
      <c r="T75" s="109">
        <f>'ELABORAZIONE ERRORI'!T38</f>
        <v>0</v>
      </c>
      <c r="U75" s="109">
        <f>'ELABORAZIONE ERRORI'!U38</f>
        <v>0</v>
      </c>
    </row>
    <row r="76" spans="1:21" ht="15.75" thickBot="1" x14ac:dyDescent="0.3"/>
    <row r="77" spans="1:21" x14ac:dyDescent="0.25">
      <c r="T77" s="1538" t="s">
        <v>367</v>
      </c>
      <c r="U77" s="1539"/>
    </row>
    <row r="78" spans="1:21" x14ac:dyDescent="0.25">
      <c r="T78" s="1272"/>
      <c r="U78" s="1540"/>
    </row>
    <row r="79" spans="1:21" ht="18.75" x14ac:dyDescent="0.3">
      <c r="T79" s="1541" t="str">
        <f>T34</f>
        <v>97005555</v>
      </c>
      <c r="U79" s="1542"/>
    </row>
    <row r="80" spans="1:21" x14ac:dyDescent="0.25">
      <c r="T80" s="1543" t="s">
        <v>247</v>
      </c>
      <c r="U80" s="1544"/>
    </row>
    <row r="81" spans="20:21" ht="19.5" thickBot="1" x14ac:dyDescent="0.35">
      <c r="T81" s="1545">
        <f>T36</f>
        <v>44041</v>
      </c>
      <c r="U81" s="1537"/>
    </row>
    <row r="82" spans="20:21" x14ac:dyDescent="0.25">
      <c r="T82" s="1270" t="s">
        <v>743</v>
      </c>
      <c r="U82" s="1535"/>
    </row>
    <row r="83" spans="20:21" ht="19.5" thickBot="1" x14ac:dyDescent="0.35">
      <c r="T83" s="1536" t="str">
        <f>T38</f>
        <v>20/07/2020</v>
      </c>
      <c r="U83" s="1537"/>
    </row>
    <row r="84" spans="20:21" x14ac:dyDescent="0.25">
      <c r="T84" s="1270" t="s">
        <v>1066</v>
      </c>
      <c r="U84" s="1535"/>
    </row>
    <row r="85" spans="20:21" ht="19.5" thickBot="1" x14ac:dyDescent="0.35">
      <c r="T85" s="1545" t="str">
        <f>T40</f>
        <v/>
      </c>
      <c r="U85" s="1537"/>
    </row>
    <row r="86" spans="20:21" x14ac:dyDescent="0.25">
      <c r="T86" s="1270" t="s">
        <v>1067</v>
      </c>
      <c r="U86" s="1535"/>
    </row>
    <row r="87" spans="20:21" ht="19.5" thickBot="1" x14ac:dyDescent="0.35">
      <c r="T87" s="1546" t="str">
        <f>T42</f>
        <v>CP200077</v>
      </c>
      <c r="U87" s="1547"/>
    </row>
    <row r="88" spans="20:21" x14ac:dyDescent="0.25">
      <c r="T88" s="1270" t="s">
        <v>1068</v>
      </c>
      <c r="U88" s="1535"/>
    </row>
    <row r="89" spans="20:21" ht="19.5" thickBot="1" x14ac:dyDescent="0.35">
      <c r="T89" s="1546">
        <f>T44</f>
        <v>8601</v>
      </c>
      <c r="U89" s="1547"/>
    </row>
    <row r="90" spans="20:21" x14ac:dyDescent="0.25">
      <c r="T90" s="1270" t="s">
        <v>1069</v>
      </c>
      <c r="U90" s="1535"/>
    </row>
    <row r="91" spans="20:21" ht="19.5" thickBot="1" x14ac:dyDescent="0.35">
      <c r="T91" s="1548" t="str">
        <f>T46</f>
        <v>ORD2003061B</v>
      </c>
      <c r="U91" s="1547"/>
    </row>
  </sheetData>
  <sheetProtection algorithmName="SHA-512" hashValue="hAkds2/JKAaGnC7olniozObDfIK46KvCnebXj4GXWHgNbc6LPvszcP0FJYcWkA7QJ32TQQaSisrVGVzIFvI9rA==" saltValue="Jh23lcd6+sCj/pCnRW5GvA==" spinCount="100000" sheet="1" objects="1" scenarios="1"/>
  <mergeCells count="117">
    <mergeCell ref="A35:F35"/>
    <mergeCell ref="A44:B44"/>
    <mergeCell ref="A45:B45"/>
    <mergeCell ref="N46:O46"/>
    <mergeCell ref="N47:O47"/>
    <mergeCell ref="A47:B47"/>
    <mergeCell ref="N44:O44"/>
    <mergeCell ref="T35:U35"/>
    <mergeCell ref="R60:S60"/>
    <mergeCell ref="T36:U36"/>
    <mergeCell ref="T37:U37"/>
    <mergeCell ref="T38:U38"/>
    <mergeCell ref="T40:U40"/>
    <mergeCell ref="T39:U39"/>
    <mergeCell ref="T41:U41"/>
    <mergeCell ref="T42:U42"/>
    <mergeCell ref="T43:U43"/>
    <mergeCell ref="T44:U44"/>
    <mergeCell ref="T45:U45"/>
    <mergeCell ref="T46:U46"/>
    <mergeCell ref="A41:B41"/>
    <mergeCell ref="A36:B36"/>
    <mergeCell ref="A37:B37"/>
    <mergeCell ref="A38:B38"/>
    <mergeCell ref="R4:S4"/>
    <mergeCell ref="H38:I38"/>
    <mergeCell ref="H39:I39"/>
    <mergeCell ref="N41:O41"/>
    <mergeCell ref="A40:B40"/>
    <mergeCell ref="H42:I42"/>
    <mergeCell ref="P60:Q60"/>
    <mergeCell ref="A1:E2"/>
    <mergeCell ref="N1:O1"/>
    <mergeCell ref="A46:B46"/>
    <mergeCell ref="N38:O38"/>
    <mergeCell ref="N39:O39"/>
    <mergeCell ref="A42:B42"/>
    <mergeCell ref="A43:B43"/>
    <mergeCell ref="H4:I4"/>
    <mergeCell ref="N40:O40"/>
    <mergeCell ref="N42:O42"/>
    <mergeCell ref="N43:O43"/>
    <mergeCell ref="I60:J60"/>
    <mergeCell ref="K60:L60"/>
    <mergeCell ref="M60:N60"/>
    <mergeCell ref="H45:I45"/>
    <mergeCell ref="H43:I43"/>
    <mergeCell ref="H44:I44"/>
    <mergeCell ref="A39:B39"/>
    <mergeCell ref="H40:I40"/>
    <mergeCell ref="S1:T1"/>
    <mergeCell ref="N2:O2"/>
    <mergeCell ref="Q2:R2"/>
    <mergeCell ref="S2:T2"/>
    <mergeCell ref="H37:I37"/>
    <mergeCell ref="F1:M2"/>
    <mergeCell ref="N35:O36"/>
    <mergeCell ref="P35:Q35"/>
    <mergeCell ref="N37:O37"/>
    <mergeCell ref="Q1:R1"/>
    <mergeCell ref="J35:K35"/>
    <mergeCell ref="H35:I36"/>
    <mergeCell ref="T32:U33"/>
    <mergeCell ref="T34:U34"/>
    <mergeCell ref="T4:U4"/>
    <mergeCell ref="M4:N4"/>
    <mergeCell ref="O4:P4"/>
    <mergeCell ref="C19:F19"/>
    <mergeCell ref="C20:F20"/>
    <mergeCell ref="C5:F5"/>
    <mergeCell ref="A7:B7"/>
    <mergeCell ref="A15:B15"/>
    <mergeCell ref="T89:U89"/>
    <mergeCell ref="T90:U90"/>
    <mergeCell ref="T91:U91"/>
    <mergeCell ref="T84:U84"/>
    <mergeCell ref="T85:U85"/>
    <mergeCell ref="T86:U86"/>
    <mergeCell ref="T87:U87"/>
    <mergeCell ref="T88:U88"/>
    <mergeCell ref="H41:I41"/>
    <mergeCell ref="N45:O45"/>
    <mergeCell ref="F60:G60"/>
    <mergeCell ref="H46:I46"/>
    <mergeCell ref="H47:I47"/>
    <mergeCell ref="T82:U82"/>
    <mergeCell ref="T83:U83"/>
    <mergeCell ref="T77:U78"/>
    <mergeCell ref="T79:U79"/>
    <mergeCell ref="T80:U80"/>
    <mergeCell ref="T81:U81"/>
    <mergeCell ref="H27:J27"/>
    <mergeCell ref="A5:B5"/>
    <mergeCell ref="A6:B6"/>
    <mergeCell ref="A18:B18"/>
    <mergeCell ref="A19:B19"/>
    <mergeCell ref="A20:B20"/>
    <mergeCell ref="A21:B21"/>
    <mergeCell ref="C21:F21"/>
    <mergeCell ref="C6:F6"/>
    <mergeCell ref="C7:F7"/>
    <mergeCell ref="C15:F15"/>
    <mergeCell ref="A4:F4"/>
    <mergeCell ref="C16:F16"/>
    <mergeCell ref="C17:F17"/>
    <mergeCell ref="C18:F18"/>
    <mergeCell ref="A16:B16"/>
    <mergeCell ref="A17:B17"/>
    <mergeCell ref="B26:G26"/>
    <mergeCell ref="A8:B8"/>
    <mergeCell ref="C8:F8"/>
    <mergeCell ref="A9:B10"/>
    <mergeCell ref="C9:F10"/>
    <mergeCell ref="A11:B12"/>
    <mergeCell ref="A13:B14"/>
    <mergeCell ref="C11:F12"/>
    <mergeCell ref="C13:F14"/>
  </mergeCells>
  <pageMargins left="0.23622047244094491" right="0.23622047244094491" top="0.74803149606299213" bottom="0.74803149606299213" header="0.31496062992125984" footer="0.31496062992125984"/>
  <pageSetup paperSize="9" scale="53" fitToHeight="2" orientation="landscape" r:id="rId1"/>
  <rowBreaks count="1" manualBreakCount="1">
    <brk id="47"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1"/>
  <sheetViews>
    <sheetView view="pageBreakPreview" topLeftCell="A21" zoomScaleSheetLayoutView="100" workbookViewId="0">
      <selection activeCell="M38" sqref="M38:U38"/>
    </sheetView>
  </sheetViews>
  <sheetFormatPr defaultColWidth="5.7109375" defaultRowHeight="15" x14ac:dyDescent="0.25"/>
  <cols>
    <col min="1" max="21" width="5.7109375" style="1" customWidth="1"/>
    <col min="22" max="16384" width="5.7109375" style="1"/>
  </cols>
  <sheetData>
    <row r="1" spans="1:21" x14ac:dyDescent="0.2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row>
    <row r="2" spans="1:21" x14ac:dyDescent="0.25">
      <c r="A2" s="1">
        <v>1</v>
      </c>
      <c r="P2" s="1607"/>
      <c r="Q2" s="1607"/>
      <c r="R2" s="1607"/>
      <c r="S2" s="1607"/>
      <c r="T2" s="1607"/>
      <c r="U2" s="1607"/>
    </row>
    <row r="3" spans="1:21" x14ac:dyDescent="0.25">
      <c r="A3" s="1">
        <v>2</v>
      </c>
      <c r="P3" s="1607"/>
      <c r="Q3" s="1607"/>
      <c r="R3" s="1607"/>
      <c r="S3" s="1607"/>
      <c r="T3" s="1607"/>
      <c r="U3" s="1607"/>
    </row>
    <row r="4" spans="1:21" x14ac:dyDescent="0.25">
      <c r="A4" s="1">
        <v>3</v>
      </c>
      <c r="P4" s="1607"/>
      <c r="Q4" s="1607"/>
      <c r="R4" s="1607"/>
      <c r="S4" s="1607"/>
      <c r="T4" s="1607"/>
      <c r="U4" s="1607"/>
    </row>
    <row r="5" spans="1:21" x14ac:dyDescent="0.25">
      <c r="A5" s="1">
        <v>4</v>
      </c>
      <c r="P5" s="1607"/>
      <c r="Q5" s="1607"/>
      <c r="R5" s="1607"/>
      <c r="S5" s="1607"/>
      <c r="T5" s="1607"/>
      <c r="U5" s="1607"/>
    </row>
    <row r="6" spans="1:21" x14ac:dyDescent="0.25">
      <c r="A6" s="1">
        <v>5</v>
      </c>
      <c r="P6" s="1607"/>
      <c r="Q6" s="1607"/>
      <c r="R6" s="1607"/>
      <c r="S6" s="1607"/>
      <c r="T6" s="1607"/>
      <c r="U6" s="1607"/>
    </row>
    <row r="7" spans="1:21" x14ac:dyDescent="0.25">
      <c r="A7" s="1">
        <v>6</v>
      </c>
      <c r="P7" s="1607"/>
      <c r="Q7" s="1607"/>
      <c r="R7" s="1607"/>
      <c r="S7" s="1607"/>
      <c r="T7" s="1607"/>
      <c r="U7" s="1607"/>
    </row>
    <row r="8" spans="1:21" x14ac:dyDescent="0.25">
      <c r="A8" s="1">
        <v>7</v>
      </c>
      <c r="P8" s="1607"/>
      <c r="Q8" s="1607"/>
      <c r="R8" s="1607"/>
      <c r="S8" s="1607"/>
      <c r="T8" s="1607"/>
      <c r="U8" s="1607"/>
    </row>
    <row r="9" spans="1:21" x14ac:dyDescent="0.25">
      <c r="A9" s="1">
        <v>8</v>
      </c>
      <c r="P9" s="1607"/>
      <c r="Q9" s="1607"/>
      <c r="R9" s="1607"/>
      <c r="S9" s="1607"/>
      <c r="T9" s="1607"/>
      <c r="U9" s="1607"/>
    </row>
    <row r="10" spans="1:21" x14ac:dyDescent="0.25">
      <c r="A10" s="1">
        <v>9</v>
      </c>
      <c r="B10" s="1623" t="s">
        <v>390</v>
      </c>
      <c r="C10" s="1623"/>
      <c r="D10" s="1623"/>
      <c r="E10" s="1623"/>
      <c r="F10" s="1623"/>
      <c r="G10" s="1623" t="s">
        <v>595</v>
      </c>
      <c r="H10" s="1624"/>
      <c r="I10" s="1624"/>
      <c r="J10" s="1624"/>
      <c r="K10" s="1624"/>
      <c r="L10" s="1624"/>
      <c r="M10" s="1624"/>
      <c r="N10" s="1624"/>
      <c r="P10" s="1607"/>
      <c r="Q10" s="1607"/>
      <c r="R10" s="1607"/>
      <c r="S10" s="1607"/>
      <c r="T10" s="1607"/>
      <c r="U10" s="1607"/>
    </row>
    <row r="11" spans="1:21" x14ac:dyDescent="0.25">
      <c r="A11" s="1">
        <v>10</v>
      </c>
      <c r="B11" s="1623" t="s">
        <v>391</v>
      </c>
      <c r="C11" s="1623"/>
      <c r="D11" s="1623"/>
      <c r="E11" s="1623"/>
      <c r="F11" s="1623"/>
      <c r="G11" s="1625" t="s">
        <v>596</v>
      </c>
      <c r="H11" s="1625"/>
      <c r="I11" s="1625"/>
      <c r="J11" s="1625"/>
      <c r="K11" s="1625"/>
      <c r="L11" s="1625"/>
      <c r="M11" s="1625"/>
      <c r="N11" s="1625"/>
    </row>
    <row r="12" spans="1:21" x14ac:dyDescent="0.25">
      <c r="A12" s="1">
        <v>11</v>
      </c>
      <c r="G12" s="1625"/>
      <c r="H12" s="1625"/>
      <c r="I12" s="1625"/>
      <c r="J12" s="1625"/>
      <c r="K12" s="1625"/>
      <c r="L12" s="1625"/>
      <c r="M12" s="1625"/>
      <c r="N12" s="1625"/>
      <c r="P12" s="1451"/>
      <c r="Q12" s="1606"/>
      <c r="R12" s="1606"/>
      <c r="S12" s="1606"/>
      <c r="T12" s="1606"/>
      <c r="U12" s="1452"/>
    </row>
    <row r="13" spans="1:21" x14ac:dyDescent="0.25">
      <c r="A13" s="1">
        <v>12</v>
      </c>
      <c r="B13" s="1600" t="s">
        <v>392</v>
      </c>
      <c r="C13" s="1600"/>
      <c r="D13" s="1600"/>
      <c r="E13" s="1600"/>
      <c r="F13" s="1600"/>
      <c r="G13" s="1600"/>
      <c r="H13" s="1600"/>
      <c r="I13" s="1600"/>
      <c r="J13" s="110"/>
      <c r="K13" s="110"/>
      <c r="L13" s="110"/>
      <c r="P13" s="1453"/>
      <c r="Q13" s="1607"/>
      <c r="R13" s="1607"/>
      <c r="S13" s="1607"/>
      <c r="T13" s="1607"/>
      <c r="U13" s="1454"/>
    </row>
    <row r="14" spans="1:21" x14ac:dyDescent="0.25">
      <c r="A14" s="1">
        <v>13</v>
      </c>
      <c r="P14" s="1453"/>
      <c r="Q14" s="1607"/>
      <c r="R14" s="1607"/>
      <c r="S14" s="1607"/>
      <c r="T14" s="1607"/>
      <c r="U14" s="1454"/>
    </row>
    <row r="15" spans="1:21" x14ac:dyDescent="0.25">
      <c r="A15" s="1">
        <v>14</v>
      </c>
      <c r="P15" s="1453"/>
      <c r="Q15" s="1607"/>
      <c r="R15" s="1607"/>
      <c r="S15" s="1607"/>
      <c r="T15" s="1607"/>
      <c r="U15" s="1454"/>
    </row>
    <row r="16" spans="1:21" x14ac:dyDescent="0.25">
      <c r="A16" s="1">
        <v>15</v>
      </c>
      <c r="B16" s="111" t="s">
        <v>393</v>
      </c>
      <c r="C16" s="1403" t="str">
        <f>IF(AND('DATI INGRESSO'!$D$17="X",'DATI INGRESSO'!$D$20&lt;&gt;"X"),'DATI INGRESSO'!C8:D8,"X")</f>
        <v>CP200077</v>
      </c>
      <c r="D16" s="1404"/>
      <c r="E16" s="1601"/>
      <c r="G16" s="1" t="s">
        <v>394</v>
      </c>
      <c r="H16" s="1602">
        <f>IF(AND('DATI INGRESSO'!$D$17="X",'DATI INGRESSO'!$D$20&lt;&gt;"X"),'DATI INGRESSO'!H7,"X")</f>
        <v>44041</v>
      </c>
      <c r="I16" s="1603"/>
      <c r="K16" s="1" t="s">
        <v>395</v>
      </c>
      <c r="M16" s="1604">
        <f>IF(AND('DATI INGRESSO'!$D$17="X",'DATI INGRESSO'!$D$20&lt;&gt;"X"),'DATI INGRESSO'!H15,"X")</f>
        <v>45136</v>
      </c>
      <c r="N16" s="1605"/>
      <c r="P16" s="1453"/>
      <c r="Q16" s="1607"/>
      <c r="R16" s="1607"/>
      <c r="S16" s="1607"/>
      <c r="T16" s="1607"/>
      <c r="U16" s="1454"/>
    </row>
    <row r="17" spans="1:21" x14ac:dyDescent="0.25">
      <c r="A17" s="1">
        <v>16</v>
      </c>
      <c r="P17" s="1453"/>
      <c r="Q17" s="1607"/>
      <c r="R17" s="1607"/>
      <c r="S17" s="1607"/>
      <c r="T17" s="1607"/>
      <c r="U17" s="1454"/>
    </row>
    <row r="18" spans="1:21" ht="15.75" thickBot="1" x14ac:dyDescent="0.3">
      <c r="A18" s="1">
        <v>17</v>
      </c>
      <c r="P18" s="1453"/>
      <c r="Q18" s="1607"/>
      <c r="R18" s="1607"/>
      <c r="S18" s="1607"/>
      <c r="T18" s="1607"/>
      <c r="U18" s="1454"/>
    </row>
    <row r="19" spans="1:21" ht="15.75" thickBot="1" x14ac:dyDescent="0.3">
      <c r="A19" s="1">
        <v>18</v>
      </c>
      <c r="B19" s="1618" t="s">
        <v>396</v>
      </c>
      <c r="C19" s="1619"/>
      <c r="D19" s="1619"/>
      <c r="E19" s="1620"/>
      <c r="F19" s="1621">
        <f>IF(AND('DATI INGRESSO'!$D$17="X",'DATI INGRESSO'!$D$20&lt;&gt;"X"),'DATI INGRESSO'!H10,"X")</f>
        <v>0.37013888888888885</v>
      </c>
      <c r="G19" s="1622"/>
      <c r="J19" s="10"/>
      <c r="P19" s="1453"/>
      <c r="Q19" s="1607"/>
      <c r="R19" s="1607"/>
      <c r="S19" s="1607"/>
      <c r="T19" s="1607"/>
      <c r="U19" s="1454"/>
    </row>
    <row r="20" spans="1:21" x14ac:dyDescent="0.25">
      <c r="A20" s="1">
        <v>19</v>
      </c>
      <c r="P20" s="1453"/>
      <c r="Q20" s="1607"/>
      <c r="R20" s="1607"/>
      <c r="S20" s="1607"/>
      <c r="T20" s="1607"/>
      <c r="U20" s="1454"/>
    </row>
    <row r="21" spans="1:21" x14ac:dyDescent="0.25">
      <c r="A21" s="1">
        <v>20</v>
      </c>
      <c r="B21" s="1600" t="s">
        <v>397</v>
      </c>
      <c r="C21" s="1600"/>
      <c r="D21" s="1600"/>
      <c r="E21" s="1600"/>
      <c r="F21" s="1600"/>
      <c r="G21" s="1600"/>
      <c r="H21" s="1600"/>
      <c r="I21" s="1600"/>
      <c r="J21" s="1600"/>
      <c r="K21" s="1600"/>
      <c r="L21" s="1600"/>
      <c r="P21" s="1455"/>
      <c r="Q21" s="1608"/>
      <c r="R21" s="1608"/>
      <c r="S21" s="1608"/>
      <c r="T21" s="1608"/>
      <c r="U21" s="1456"/>
    </row>
    <row r="22" spans="1:21" ht="15.75" thickBot="1" x14ac:dyDescent="0.3">
      <c r="A22" s="1">
        <v>21</v>
      </c>
    </row>
    <row r="23" spans="1:21" x14ac:dyDescent="0.25">
      <c r="A23" s="1">
        <v>22</v>
      </c>
      <c r="B23" s="1653" t="s">
        <v>398</v>
      </c>
      <c r="C23" s="1654"/>
      <c r="D23" s="1654"/>
      <c r="E23" s="1630"/>
      <c r="F23" s="1656" t="str">
        <f>IF(AND('DATI INGRESSO'!$D$17="X",'DATI INGRESSO'!$D$20&lt;&gt;"X"),'DATI INGRESSO'!I24,"X")</f>
        <v>BSE03161F</v>
      </c>
      <c r="G23" s="1657"/>
      <c r="H23" s="1657"/>
      <c r="I23" s="1657"/>
      <c r="J23" s="1657"/>
      <c r="K23" s="1657"/>
      <c r="L23" s="1657"/>
      <c r="M23" s="1657"/>
      <c r="N23" s="1657"/>
      <c r="O23" s="1658"/>
      <c r="P23" s="1637" t="s">
        <v>406</v>
      </c>
      <c r="Q23" s="1638"/>
      <c r="R23" s="1655" t="str">
        <f>IF(AND('DATI INGRESSO'!$D$17="X",'DATI INGRESSO'!$D$20&lt;&gt;"X"), 'DATI INGRESSO'!I38, "X")</f>
        <v>-</v>
      </c>
      <c r="S23" s="1500"/>
      <c r="T23" s="1500"/>
      <c r="U23" s="1501"/>
    </row>
    <row r="24" spans="1:21" x14ac:dyDescent="0.25">
      <c r="A24" s="1">
        <v>23</v>
      </c>
      <c r="B24" s="1639" t="s">
        <v>399</v>
      </c>
      <c r="C24" s="1640"/>
      <c r="D24" s="1640"/>
      <c r="E24" s="1610"/>
      <c r="F24" s="1631" t="str">
        <f>IF(AND('DATI INGRESSO'!$D$17="X",'DATI INGRESSO'!$D$20&lt;&gt;"X"),'DATI INGRESSO'!C28,"X")</f>
        <v>PINCO PALLINO S.R.L.</v>
      </c>
      <c r="G24" s="1632"/>
      <c r="H24" s="1632"/>
      <c r="I24" s="1632"/>
      <c r="J24" s="1632"/>
      <c r="K24" s="1632"/>
      <c r="L24" s="1632"/>
      <c r="M24" s="1632"/>
      <c r="N24" s="1632"/>
      <c r="O24" s="1632"/>
      <c r="P24" s="1632"/>
      <c r="Q24" s="1632"/>
      <c r="R24" s="1632"/>
      <c r="S24" s="1632"/>
      <c r="T24" s="1632"/>
      <c r="U24" s="1633"/>
    </row>
    <row r="25" spans="1:21" x14ac:dyDescent="0.25">
      <c r="A25" s="1">
        <v>24</v>
      </c>
      <c r="B25" s="1639" t="s">
        <v>400</v>
      </c>
      <c r="C25" s="1640"/>
      <c r="D25" s="1640"/>
      <c r="E25" s="1610"/>
      <c r="F25" s="1631" t="str">
        <f>IF(AND('DATI INGRESSO'!$D$17="X",'DATI INGRESSO'!$D$20&lt;&gt;"X"),'DATI INGRESSO'!C32,"X")</f>
        <v>VIA BRESCIA, 128 - CREMONA (CR)</v>
      </c>
      <c r="G25" s="1632"/>
      <c r="H25" s="1632"/>
      <c r="I25" s="1632"/>
      <c r="J25" s="1632"/>
      <c r="K25" s="1632"/>
      <c r="L25" s="1632"/>
      <c r="M25" s="1632"/>
      <c r="N25" s="1632"/>
      <c r="O25" s="1632"/>
      <c r="P25" s="1632"/>
      <c r="Q25" s="1632"/>
      <c r="R25" s="1632"/>
      <c r="S25" s="1632"/>
      <c r="T25" s="1632"/>
      <c r="U25" s="1633"/>
    </row>
    <row r="26" spans="1:21" x14ac:dyDescent="0.25">
      <c r="A26" s="1">
        <v>25</v>
      </c>
      <c r="B26" s="1639" t="s">
        <v>401</v>
      </c>
      <c r="C26" s="1640"/>
      <c r="D26" s="1640"/>
      <c r="E26" s="1610"/>
      <c r="F26" s="1631" t="str">
        <f>IF(AND('DATI INGRESSO'!$D$17="X",'DATI INGRESSO'!$D$20&lt;&gt;"X"),'DATI INGRESSO'!C36,"X")</f>
        <v>VIA VALCAMONICA, 10/A - BRESCIA (BS)</v>
      </c>
      <c r="G26" s="1632"/>
      <c r="H26" s="1632"/>
      <c r="I26" s="1632"/>
      <c r="J26" s="1632"/>
      <c r="K26" s="1632"/>
      <c r="L26" s="1632"/>
      <c r="M26" s="1632"/>
      <c r="N26" s="1632"/>
      <c r="O26" s="1632"/>
      <c r="P26" s="1632"/>
      <c r="Q26" s="1632"/>
      <c r="R26" s="1632"/>
      <c r="S26" s="1632"/>
      <c r="T26" s="1632"/>
      <c r="U26" s="1633"/>
    </row>
    <row r="27" spans="1:21" x14ac:dyDescent="0.25">
      <c r="A27" s="1">
        <v>26</v>
      </c>
      <c r="B27" s="1639" t="s">
        <v>402</v>
      </c>
      <c r="C27" s="1640"/>
      <c r="D27" s="1640"/>
      <c r="E27" s="1610"/>
      <c r="F27" s="1631" t="str">
        <f>IF(AND('DATI INGRESSO'!$D$17="X",'DATI INGRESSO'!$D$20&lt;&gt;"X"),'DATI INGRESSO'!C42,"X")</f>
        <v>NICCHIA POSTA IN PARETE CENTRALE TERMICA</v>
      </c>
      <c r="G27" s="1632"/>
      <c r="H27" s="1632"/>
      <c r="I27" s="1632"/>
      <c r="J27" s="1632"/>
      <c r="K27" s="1632"/>
      <c r="L27" s="1632"/>
      <c r="M27" s="1632"/>
      <c r="N27" s="1632"/>
      <c r="O27" s="1632"/>
      <c r="P27" s="1632"/>
      <c r="Q27" s="1632"/>
      <c r="R27" s="1632"/>
      <c r="S27" s="1632"/>
      <c r="T27" s="1632"/>
      <c r="U27" s="1633"/>
    </row>
    <row r="28" spans="1:21" x14ac:dyDescent="0.25">
      <c r="A28" s="1">
        <v>27</v>
      </c>
      <c r="B28" s="1639" t="s">
        <v>403</v>
      </c>
      <c r="C28" s="1640"/>
      <c r="D28" s="1640"/>
      <c r="E28" s="1610"/>
      <c r="F28" s="1631" t="str">
        <f>IF(AND('DATI INGRESSO'!$D$17="X",'DATI INGRESSO'!$D$20&lt;&gt;"X"),'DATI INGRESSO'!C46,"X")</f>
        <v>PRODUZIONE COGENERATORE MASTER - MATRICOLA 3086</v>
      </c>
      <c r="G28" s="1632"/>
      <c r="H28" s="1632"/>
      <c r="I28" s="1632"/>
      <c r="J28" s="1632"/>
      <c r="K28" s="1632"/>
      <c r="L28" s="1632"/>
      <c r="M28" s="1632"/>
      <c r="N28" s="1632"/>
      <c r="O28" s="1632"/>
      <c r="P28" s="1632"/>
      <c r="Q28" s="1632"/>
      <c r="R28" s="1632"/>
      <c r="S28" s="1632"/>
      <c r="T28" s="1632"/>
      <c r="U28" s="1633"/>
    </row>
    <row r="29" spans="1:21" x14ac:dyDescent="0.25">
      <c r="A29" s="1">
        <v>28</v>
      </c>
      <c r="B29" s="1639" t="s">
        <v>404</v>
      </c>
      <c r="C29" s="1640"/>
      <c r="D29" s="1640"/>
      <c r="E29" s="1610"/>
      <c r="F29" s="1631" t="str">
        <f>IF(AND('DATI INGRESSO'!$D$17="X",'DATI INGRESSO'!$D$20&lt;&gt;"X"),IF('DATI INGRESSO'!F50="X",'DATI INGRESSO'!D48,IF('DATI INGRESSO'!I50="X",'DATI INGRESSO'!G48,IF('DATI INGRESSO'!L50="X",'DATI INGRESSO'!J48))),"X")</f>
        <v>Verifica periodica</v>
      </c>
      <c r="G29" s="1632"/>
      <c r="H29" s="1632"/>
      <c r="I29" s="1632"/>
      <c r="J29" s="1632"/>
      <c r="K29" s="1632"/>
      <c r="L29" s="1632"/>
      <c r="M29" s="1632"/>
      <c r="N29" s="1632"/>
      <c r="O29" s="1632"/>
      <c r="P29" s="1632"/>
      <c r="Q29" s="1632"/>
      <c r="R29" s="1632"/>
      <c r="S29" s="1632"/>
      <c r="T29" s="1632"/>
      <c r="U29" s="1633"/>
    </row>
    <row r="30" spans="1:21" ht="15.75" thickBot="1" x14ac:dyDescent="0.3">
      <c r="A30" s="1">
        <v>29</v>
      </c>
      <c r="B30" s="1649" t="s">
        <v>405</v>
      </c>
      <c r="C30" s="1650"/>
      <c r="D30" s="1650"/>
      <c r="E30" s="1651"/>
      <c r="F30" s="1634" t="str">
        <f>IF(AND('DATI INGRESSO'!$D$17="X",'DATI INGRESSO'!$D$20&lt;&gt;"X"),'DATI INGRESSO'!C53,"X")</f>
        <v>MT</v>
      </c>
      <c r="G30" s="1635"/>
      <c r="H30" s="1635"/>
      <c r="I30" s="1635"/>
      <c r="J30" s="1635"/>
      <c r="K30" s="1635"/>
      <c r="L30" s="1635"/>
      <c r="M30" s="1635"/>
      <c r="N30" s="1635"/>
      <c r="O30" s="1636"/>
      <c r="P30" s="1641" t="s">
        <v>407</v>
      </c>
      <c r="Q30" s="1642"/>
      <c r="R30" s="1664" t="str">
        <f>IF(AND('DATI INGRESSO'!$D$17="X",'DATI INGRESSO'!$D$20&lt;&gt;"X"), 'DATI INGRESSO'!J54, "X")</f>
        <v>20 kV</v>
      </c>
      <c r="S30" s="1665"/>
      <c r="T30" s="1665"/>
      <c r="U30" s="1666"/>
    </row>
    <row r="31" spans="1:21" x14ac:dyDescent="0.25">
      <c r="A31" s="1">
        <v>30</v>
      </c>
    </row>
    <row r="32" spans="1:21" x14ac:dyDescent="0.25">
      <c r="A32" s="1">
        <v>31</v>
      </c>
      <c r="B32" s="1600" t="s">
        <v>408</v>
      </c>
      <c r="C32" s="1600"/>
      <c r="D32" s="1600"/>
      <c r="E32" s="1600"/>
      <c r="F32" s="1600"/>
      <c r="G32" s="1600"/>
      <c r="H32" s="1600"/>
      <c r="I32" s="1600"/>
      <c r="J32" s="1600"/>
      <c r="K32" s="1600"/>
      <c r="L32" s="1600"/>
      <c r="M32" s="1600"/>
      <c r="N32" s="1600"/>
      <c r="O32" s="1600"/>
      <c r="P32" s="1600"/>
      <c r="Q32" s="1600"/>
    </row>
    <row r="33" spans="1:21" ht="15.75" thickBot="1" x14ac:dyDescent="0.3">
      <c r="A33" s="1">
        <v>32</v>
      </c>
    </row>
    <row r="34" spans="1:21" x14ac:dyDescent="0.25">
      <c r="A34" s="1">
        <v>33</v>
      </c>
      <c r="B34" s="1643" t="s">
        <v>423</v>
      </c>
      <c r="C34" s="1644"/>
      <c r="D34" s="1629" t="s">
        <v>410</v>
      </c>
      <c r="E34" s="1630"/>
      <c r="F34" s="1626" t="str">
        <f>IF(AND('DATI INGRESSO'!$D$17="X",'DATI INGRESSO'!$D$20&lt;&gt;"X"),'DATI INGRESSO'!C58,"X")</f>
        <v>97005555</v>
      </c>
      <c r="G34" s="1627"/>
      <c r="H34" s="1627"/>
      <c r="I34" s="1652"/>
      <c r="J34" s="1629" t="s">
        <v>413</v>
      </c>
      <c r="K34" s="1654"/>
      <c r="L34" s="1630"/>
      <c r="M34" s="1626" t="str">
        <f>IF(AND('DATI INGRESSO'!$D$17="X",'DATI INGRESSO'!$D$20&lt;&gt;"X"),'DATI INGRESSO'!H188,"X")</f>
        <v>C</v>
      </c>
      <c r="N34" s="1627"/>
      <c r="O34" s="1627"/>
      <c r="P34" s="1629" t="s">
        <v>417</v>
      </c>
      <c r="Q34" s="1630"/>
      <c r="R34" s="1626" t="str">
        <f>IF(AND('DATI INGRESSO'!$D$17="X",'DATI INGRESSO'!$D$20&lt;&gt;"X"),'DATI INGRESSO'!I58,"X")</f>
        <v>3x58/100…240/415</v>
      </c>
      <c r="S34" s="1627"/>
      <c r="T34" s="1627"/>
      <c r="U34" s="1628"/>
    </row>
    <row r="35" spans="1:21" x14ac:dyDescent="0.25">
      <c r="A35" s="1">
        <v>34</v>
      </c>
      <c r="B35" s="1645"/>
      <c r="C35" s="1646"/>
      <c r="D35" s="1609" t="s">
        <v>409</v>
      </c>
      <c r="E35" s="1610"/>
      <c r="F35" s="1611" t="str">
        <f>IF(AND('DATI INGRESSO'!$D$17="X",'DATI INGRESSO'!$D$20&lt;&gt;"X"),'DATI INGRESSO'!C62,"X")</f>
        <v>LANDIS+GYR</v>
      </c>
      <c r="G35" s="1612"/>
      <c r="H35" s="1612"/>
      <c r="I35" s="1617"/>
      <c r="J35" s="1609" t="s">
        <v>414</v>
      </c>
      <c r="K35" s="1640"/>
      <c r="L35" s="1610"/>
      <c r="M35" s="1611" t="str">
        <f>IF(AND('DATI INGRESSO'!$D$17="X",'DATI INGRESSO'!$D$20&lt;&gt;"X"),CONCATENATE('DATI INGRESSO'!C73," ",'DATI INGRESSO'!E73),"X")</f>
        <v>STATICO 3F 4W</v>
      </c>
      <c r="N35" s="1612"/>
      <c r="O35" s="1612"/>
      <c r="P35" s="1609" t="s">
        <v>418</v>
      </c>
      <c r="Q35" s="1610"/>
      <c r="R35" s="1611" t="str">
        <f>IF(AND('DATI INGRESSO'!$D$17="X",'DATI INGRESSO'!$D$20&lt;&gt;"X"),'DATI INGRESSO'!I62,"X")</f>
        <v>0,05-5(10)</v>
      </c>
      <c r="S35" s="1612"/>
      <c r="T35" s="1612"/>
      <c r="U35" s="1662"/>
    </row>
    <row r="36" spans="1:21" x14ac:dyDescent="0.25">
      <c r="A36" s="1">
        <v>35</v>
      </c>
      <c r="B36" s="1645"/>
      <c r="C36" s="1646"/>
      <c r="D36" s="1609" t="s">
        <v>411</v>
      </c>
      <c r="E36" s="1610"/>
      <c r="F36" s="1611" t="str">
        <f>IF(AND('DATI INGRESSO'!$D$17="X",'DATI INGRESSO'!$D$20&lt;&gt;"X"),'DATI INGRESSO'!C66,"X")</f>
        <v>ZMD405CR44.0007 S3a B32</v>
      </c>
      <c r="G36" s="1612"/>
      <c r="H36" s="1612"/>
      <c r="I36" s="1617"/>
      <c r="J36" s="1609" t="s">
        <v>415</v>
      </c>
      <c r="K36" s="1640"/>
      <c r="L36" s="1610"/>
      <c r="M36" s="1611" t="str">
        <f>IF(AND('DATI INGRESSO'!$D$17="X",'DATI INGRESSO'!$D$20&lt;&gt;"X"),'DATI INGRESSO'!I66,"X")</f>
        <v>50</v>
      </c>
      <c r="N36" s="1612"/>
      <c r="O36" s="1612"/>
      <c r="P36" s="1609" t="s">
        <v>419</v>
      </c>
      <c r="Q36" s="1610"/>
      <c r="R36" s="1611" t="str">
        <f>IF(AND('DATI INGRESSO'!$D$17="X",'DATI INGRESSO'!$D$20&lt;&gt;"X"),'DATI INGRESSO'!I74,"X")</f>
        <v>1</v>
      </c>
      <c r="S36" s="1612"/>
      <c r="T36" s="1612"/>
      <c r="U36" s="1662"/>
    </row>
    <row r="37" spans="1:21" x14ac:dyDescent="0.25">
      <c r="A37" s="1">
        <v>36</v>
      </c>
      <c r="B37" s="1645"/>
      <c r="C37" s="1646"/>
      <c r="D37" s="1609" t="s">
        <v>412</v>
      </c>
      <c r="E37" s="1610"/>
      <c r="F37" s="1611" t="str">
        <f>IF(AND('DATI INGRESSO'!$D$17="X",'DATI INGRESSO'!$D$20&lt;&gt;"X"),'DATI INGRESSO'!C70,"X")</f>
        <v>CE M20 1259</v>
      </c>
      <c r="G37" s="1612"/>
      <c r="H37" s="1612"/>
      <c r="I37" s="1617"/>
      <c r="J37" s="1609" t="s">
        <v>416</v>
      </c>
      <c r="K37" s="1640"/>
      <c r="L37" s="1610"/>
      <c r="M37" s="1611" t="str">
        <f>IF(AND('DATI INGRESSO'!$D$17="X",'DATI INGRESSO'!$D$20&lt;&gt;"X"),'DATI INGRESSO'!I70,"X")</f>
        <v>6</v>
      </c>
      <c r="N37" s="1612"/>
      <c r="O37" s="1612"/>
      <c r="P37" s="1609" t="s">
        <v>420</v>
      </c>
      <c r="Q37" s="1610"/>
      <c r="R37" s="1660" t="str">
        <f>IF(AND('DATI INGRESSO'!$D$17="X",'DATI INGRESSO'!$D$20&lt;&gt;"X"),'DATI INGRESSO'!K70,"X")</f>
        <v>2</v>
      </c>
      <c r="S37" s="1661"/>
      <c r="T37" s="1609" t="s">
        <v>421</v>
      </c>
      <c r="U37" s="1659"/>
    </row>
    <row r="38" spans="1:21" x14ac:dyDescent="0.25">
      <c r="A38" s="1">
        <v>37</v>
      </c>
      <c r="B38" s="1645"/>
      <c r="C38" s="1646"/>
      <c r="D38" s="1615" t="s">
        <v>482</v>
      </c>
      <c r="E38" s="1615"/>
      <c r="F38" s="1615"/>
      <c r="G38" s="1615"/>
      <c r="H38" s="1615"/>
      <c r="I38" s="1615"/>
      <c r="J38" s="1615"/>
      <c r="K38" s="1615"/>
      <c r="L38" s="1615"/>
      <c r="M38" s="1405" t="str">
        <f>IF(AND('DATI INGRESSO'!$D$17="X",'DATI INGRESSO'!$D$20&lt;&gt;"X"),CONCATENATE('DATI INGRESSO'!C79,"   ",'DATI INGRESSO'!E79),"X")</f>
        <v>10000   impulsi/kWh</v>
      </c>
      <c r="N38" s="1405"/>
      <c r="O38" s="1405"/>
      <c r="P38" s="1405"/>
      <c r="Q38" s="1405"/>
      <c r="R38" s="1405"/>
      <c r="S38" s="1405"/>
      <c r="T38" s="1405"/>
      <c r="U38" s="1544"/>
    </row>
    <row r="39" spans="1:21" ht="19.5" thickBot="1" x14ac:dyDescent="0.35">
      <c r="A39" s="1">
        <v>38</v>
      </c>
      <c r="B39" s="1647"/>
      <c r="C39" s="1648"/>
      <c r="D39" s="1616" t="s">
        <v>422</v>
      </c>
      <c r="E39" s="1616"/>
      <c r="F39" s="1616"/>
      <c r="G39" s="1616"/>
      <c r="H39" s="1616"/>
      <c r="I39" s="1616"/>
      <c r="J39" s="1616"/>
      <c r="K39" s="1616"/>
      <c r="L39" s="1616"/>
      <c r="M39" s="1613">
        <f>IF(AND('DATI INGRESSO'!$D$17="X",'DATI INGRESSO'!$D$20&lt;&gt;"X"),'DATI INGRESSO'!I79,"X")</f>
        <v>1</v>
      </c>
      <c r="N39" s="1613"/>
      <c r="O39" s="1613"/>
      <c r="P39" s="1613"/>
      <c r="Q39" s="1613"/>
      <c r="R39" s="1613"/>
      <c r="S39" s="1613"/>
      <c r="T39" s="1613"/>
      <c r="U39" s="1614"/>
    </row>
    <row r="40" spans="1:21" ht="15.75" thickBot="1" x14ac:dyDescent="0.3">
      <c r="A40" s="1">
        <v>39</v>
      </c>
    </row>
    <row r="41" spans="1:21" x14ac:dyDescent="0.25">
      <c r="A41" s="1">
        <v>40</v>
      </c>
      <c r="B41" s="1675" t="s">
        <v>424</v>
      </c>
      <c r="C41" s="1676"/>
      <c r="D41" s="1629" t="s">
        <v>409</v>
      </c>
      <c r="E41" s="1630"/>
      <c r="F41" s="1626" t="str">
        <f>IF(AND('DATI INGRESSO'!$D$17="X",'DATI INGRESSO'!$D$20&lt;&gt;"X"),IF('DATI INGRESSO'!O141="X",'DATI INGRESSO'!C84,""),"X")</f>
        <v>S.A.EL.</v>
      </c>
      <c r="G41" s="1627"/>
      <c r="H41" s="1627"/>
      <c r="I41" s="1627"/>
      <c r="J41" s="1627"/>
      <c r="K41" s="1652"/>
      <c r="L41" s="1681" t="s">
        <v>425</v>
      </c>
      <c r="M41" s="1676"/>
      <c r="N41" s="1629" t="s">
        <v>409</v>
      </c>
      <c r="O41" s="1630"/>
      <c r="P41" s="1626" t="str">
        <f>IF(AND('DATI INGRESSO'!$D$17="X",'DATI INGRESSO'!$D$20&lt;&gt;"X"),IF('DATI INGRESSO'!O159="X",'DATI INGRESSO'!I84,""),"X")</f>
        <v>REVALCO</v>
      </c>
      <c r="Q41" s="1627"/>
      <c r="R41" s="1627"/>
      <c r="S41" s="1627"/>
      <c r="T41" s="1627"/>
      <c r="U41" s="1628"/>
    </row>
    <row r="42" spans="1:21" x14ac:dyDescent="0.25">
      <c r="A42" s="1">
        <v>41</v>
      </c>
      <c r="B42" s="1677"/>
      <c r="C42" s="1678"/>
      <c r="D42" s="1609" t="s">
        <v>411</v>
      </c>
      <c r="E42" s="1610"/>
      <c r="F42" s="1611" t="str">
        <f>IF(AND('DATI INGRESSO'!$D$17="X",'DATI INGRESSO'!$D$20&lt;&gt;"X"),IF('DATI INGRESSO'!O141="X",'DATI INGRESSO'!C88,""),"X")</f>
        <v>TCO80</v>
      </c>
      <c r="G42" s="1612"/>
      <c r="H42" s="1612"/>
      <c r="I42" s="1612"/>
      <c r="J42" s="1612"/>
      <c r="K42" s="1617"/>
      <c r="L42" s="1682"/>
      <c r="M42" s="1678"/>
      <c r="N42" s="1609" t="s">
        <v>411</v>
      </c>
      <c r="O42" s="1610"/>
      <c r="P42" s="1611" t="str">
        <f>IF(AND('DATI INGRESSO'!$D$17="X",'DATI INGRESSO'!$D$20&lt;&gt;"X"),IF('DATI INGRESSO'!O159="X",'DATI INGRESSO'!I88,""),"X")</f>
        <v>TT10</v>
      </c>
      <c r="Q42" s="1612"/>
      <c r="R42" s="1612"/>
      <c r="S42" s="1612"/>
      <c r="T42" s="1612"/>
      <c r="U42" s="1662"/>
    </row>
    <row r="43" spans="1:21" x14ac:dyDescent="0.25">
      <c r="A43" s="1">
        <v>42</v>
      </c>
      <c r="B43" s="1677"/>
      <c r="C43" s="1678"/>
      <c r="D43" s="1609" t="s">
        <v>426</v>
      </c>
      <c r="E43" s="1610"/>
      <c r="F43" s="1611" t="str">
        <f>IF(AND('DATI INGRESSO'!$D$17="X",'DATI INGRESSO'!$D$20&lt;&gt;"X"),IF('DATI INGRESSO'!O141="X",CONCATENATE('DATI INGRESSO'!O149," / ",'DATI INGRESSO'!O152),""),"X")</f>
        <v>150 / 5</v>
      </c>
      <c r="G43" s="1612"/>
      <c r="H43" s="1612"/>
      <c r="I43" s="1612"/>
      <c r="J43" s="1612"/>
      <c r="K43" s="1617"/>
      <c r="L43" s="1682"/>
      <c r="M43" s="1678"/>
      <c r="N43" s="1609" t="s">
        <v>426</v>
      </c>
      <c r="O43" s="1610"/>
      <c r="P43" s="1611" t="str">
        <f>IF(AND('DATI INGRESSO'!$D$17="X",'DATI INGRESSO'!$D$20&lt;&gt;"X"),IF('DATI INGRESSO'!O159="X",CONCATENATE('DATI INGRESSO'!O168,'DATI INGRESSO'!P168," / ",'DATI INGRESSO'!O172,'DATI INGRESSO'!P172),""),"X")</f>
        <v>20000 / 100</v>
      </c>
      <c r="Q43" s="1612"/>
      <c r="R43" s="1612"/>
      <c r="S43" s="1612"/>
      <c r="T43" s="1612"/>
      <c r="U43" s="1662"/>
    </row>
    <row r="44" spans="1:21" x14ac:dyDescent="0.25">
      <c r="A44" s="1">
        <v>43</v>
      </c>
      <c r="B44" s="1677"/>
      <c r="C44" s="1678"/>
      <c r="D44" s="1609" t="s">
        <v>427</v>
      </c>
      <c r="E44" s="1610"/>
      <c r="F44" s="1611" t="str">
        <f>IF(AND('DATI INGRESSO'!$D$17="X",'DATI INGRESSO'!$D$20&lt;&gt;"X"),IF('DATI INGRESSO'!O141="X",'DATI INGRESSO'!O146,""),"X")</f>
        <v>0,5S</v>
      </c>
      <c r="G44" s="1612"/>
      <c r="H44" s="1612"/>
      <c r="I44" s="1612"/>
      <c r="J44" s="1612"/>
      <c r="K44" s="1617"/>
      <c r="L44" s="1682"/>
      <c r="M44" s="1678"/>
      <c r="N44" s="1609" t="s">
        <v>427</v>
      </c>
      <c r="O44" s="1610"/>
      <c r="P44" s="1611" t="str">
        <f>IF(AND('DATI INGRESSO'!$D$17="X",'DATI INGRESSO'!$D$20&lt;&gt;"X"),IF('DATI INGRESSO'!O159="X",'DATI INGRESSO'!O164,""),"X")</f>
        <v>0,2</v>
      </c>
      <c r="Q44" s="1612"/>
      <c r="R44" s="1612"/>
      <c r="S44" s="1612"/>
      <c r="T44" s="1612"/>
      <c r="U44" s="1662"/>
    </row>
    <row r="45" spans="1:21" x14ac:dyDescent="0.25">
      <c r="A45" s="1">
        <v>44</v>
      </c>
      <c r="B45" s="1677"/>
      <c r="C45" s="1678"/>
      <c r="D45" s="1609" t="s">
        <v>415</v>
      </c>
      <c r="E45" s="1610"/>
      <c r="F45" s="1611" t="str">
        <f>IF(AND('DATI INGRESSO'!$D$17="X",'DATI INGRESSO'!$D$20&lt;&gt;"X"),IF('DATI INGRESSO'!O141="X",'DATI INGRESSO'!C92,""),"X")</f>
        <v>50</v>
      </c>
      <c r="G45" s="1612"/>
      <c r="H45" s="1612"/>
      <c r="I45" s="1612"/>
      <c r="J45" s="1612"/>
      <c r="K45" s="1617"/>
      <c r="L45" s="1682"/>
      <c r="M45" s="1678"/>
      <c r="N45" s="1609" t="s">
        <v>415</v>
      </c>
      <c r="O45" s="1610"/>
      <c r="P45" s="1611" t="str">
        <f>IF(AND('DATI INGRESSO'!$D$17="X",'DATI INGRESSO'!$D$20&lt;&gt;"X"),IF('DATI INGRESSO'!O159="X",'DATI INGRESSO'!I92,""),"X")</f>
        <v>50</v>
      </c>
      <c r="Q45" s="1612"/>
      <c r="R45" s="1612"/>
      <c r="S45" s="1612"/>
      <c r="T45" s="1612"/>
      <c r="U45" s="1662"/>
    </row>
    <row r="46" spans="1:21" x14ac:dyDescent="0.25">
      <c r="A46" s="1">
        <v>45</v>
      </c>
      <c r="B46" s="1677"/>
      <c r="C46" s="1678"/>
      <c r="D46" s="1609" t="s">
        <v>428</v>
      </c>
      <c r="E46" s="1610"/>
      <c r="F46" s="1611">
        <f>IF(AND('DATI INGRESSO'!$D$17="X",'DATI INGRESSO'!$D$20&lt;&gt;"X"),IF('DATI INGRESSO'!O141="X",'DATI INGRESSO'!O155,""),"X")</f>
        <v>5</v>
      </c>
      <c r="G46" s="1612"/>
      <c r="H46" s="1612"/>
      <c r="I46" s="1612"/>
      <c r="J46" s="1612"/>
      <c r="K46" s="1617"/>
      <c r="L46" s="1682"/>
      <c r="M46" s="1678"/>
      <c r="N46" s="1609" t="s">
        <v>428</v>
      </c>
      <c r="O46" s="1610"/>
      <c r="P46" s="1611">
        <f>IF(AND('DATI INGRESSO'!$D$17="X",'DATI INGRESSO'!$D$20&lt;&gt;"X"),IF('DATI INGRESSO'!O159="X",'DATI INGRESSO'!O175,""),"X")</f>
        <v>3</v>
      </c>
      <c r="Q46" s="1612"/>
      <c r="R46" s="1612"/>
      <c r="S46" s="1612"/>
      <c r="T46" s="1612"/>
      <c r="U46" s="1662"/>
    </row>
    <row r="47" spans="1:21" x14ac:dyDescent="0.25">
      <c r="A47" s="1">
        <v>46</v>
      </c>
      <c r="B47" s="1677"/>
      <c r="C47" s="1678"/>
      <c r="D47" s="1609" t="s">
        <v>429</v>
      </c>
      <c r="E47" s="1610"/>
      <c r="F47" s="1611" t="str">
        <f>IF(AND('DATI INGRESSO'!$D$17="X",'DATI INGRESSO'!$D$20&lt;&gt;"X"),IF('DATI INGRESSO'!O141="X",'DATI INGRESSO'!C96,""),"X")</f>
        <v>111111</v>
      </c>
      <c r="G47" s="1612"/>
      <c r="H47" s="1612"/>
      <c r="I47" s="1612"/>
      <c r="J47" s="1612"/>
      <c r="K47" s="1617"/>
      <c r="L47" s="1682"/>
      <c r="M47" s="1678"/>
      <c r="N47" s="1609" t="s">
        <v>429</v>
      </c>
      <c r="O47" s="1610"/>
      <c r="P47" s="1611" t="str">
        <f>IF(AND('DATI INGRESSO'!$D$17="X",'DATI INGRESSO'!$D$20&lt;&gt;"X"),IF('DATI INGRESSO'!O159="X",'DATI INGRESSO'!I96,""),"X")</f>
        <v>444444</v>
      </c>
      <c r="Q47" s="1612"/>
      <c r="R47" s="1612"/>
      <c r="S47" s="1612"/>
      <c r="T47" s="1612"/>
      <c r="U47" s="1662"/>
    </row>
    <row r="48" spans="1:21" x14ac:dyDescent="0.25">
      <c r="A48" s="1">
        <v>47</v>
      </c>
      <c r="B48" s="1677"/>
      <c r="C48" s="1678"/>
      <c r="D48" s="1609" t="s">
        <v>429</v>
      </c>
      <c r="E48" s="1610"/>
      <c r="F48" s="1611" t="str">
        <f>IF(AND('DATI INGRESSO'!$D$17="X",'DATI INGRESSO'!$D$20&lt;&gt;"X"),IF('DATI INGRESSO'!O141="X",'DATI INGRESSO'!C100,""),"X")</f>
        <v>222222</v>
      </c>
      <c r="G48" s="1612"/>
      <c r="H48" s="1612"/>
      <c r="I48" s="1612"/>
      <c r="J48" s="1612"/>
      <c r="K48" s="1617"/>
      <c r="L48" s="1682"/>
      <c r="M48" s="1678"/>
      <c r="N48" s="1609" t="s">
        <v>429</v>
      </c>
      <c r="O48" s="1610"/>
      <c r="P48" s="1611" t="str">
        <f>IF(AND('DATI INGRESSO'!$D$17="X",'DATI INGRESSO'!$D$20&lt;&gt;"X"),IF('DATI INGRESSO'!O159="X",'DATI INGRESSO'!I100,""),"X")</f>
        <v>555555</v>
      </c>
      <c r="Q48" s="1612"/>
      <c r="R48" s="1612"/>
      <c r="S48" s="1612"/>
      <c r="T48" s="1612"/>
      <c r="U48" s="1662"/>
    </row>
    <row r="49" spans="1:21" ht="15.75" thickBot="1" x14ac:dyDescent="0.3">
      <c r="A49" s="1">
        <v>48</v>
      </c>
      <c r="B49" s="1679"/>
      <c r="C49" s="1680"/>
      <c r="D49" s="1663" t="s">
        <v>429</v>
      </c>
      <c r="E49" s="1651"/>
      <c r="F49" s="1672" t="str">
        <f>IF(AND('DATI INGRESSO'!$D$17="X",'DATI INGRESSO'!$D$20&lt;&gt;"X"),IF('DATI INGRESSO'!O141="X",'DATI INGRESSO'!C104,""),"X")</f>
        <v>333333</v>
      </c>
      <c r="G49" s="1673"/>
      <c r="H49" s="1673"/>
      <c r="I49" s="1673"/>
      <c r="J49" s="1673"/>
      <c r="K49" s="1684"/>
      <c r="L49" s="1683"/>
      <c r="M49" s="1680"/>
      <c r="N49" s="1663" t="s">
        <v>429</v>
      </c>
      <c r="O49" s="1651"/>
      <c r="P49" s="1672" t="str">
        <f>IF(AND('DATI INGRESSO'!$D$17="X",'DATI INGRESSO'!$D$20&lt;&gt;"X"),IF('DATI INGRESSO'!O159="X",'DATI INGRESSO'!I104,""),"X")</f>
        <v>666666</v>
      </c>
      <c r="Q49" s="1673"/>
      <c r="R49" s="1673"/>
      <c r="S49" s="1673"/>
      <c r="T49" s="1673"/>
      <c r="U49" s="1674"/>
    </row>
    <row r="50" spans="1:21" ht="15.75" thickBot="1" x14ac:dyDescent="0.3">
      <c r="A50" s="1">
        <v>49</v>
      </c>
    </row>
    <row r="51" spans="1:21" x14ac:dyDescent="0.25">
      <c r="A51" s="1">
        <v>50</v>
      </c>
      <c r="B51" s="1667" t="s">
        <v>430</v>
      </c>
      <c r="C51" s="1668"/>
      <c r="D51" s="1668"/>
      <c r="E51" s="1668"/>
      <c r="F51" s="1668"/>
      <c r="G51" s="1668"/>
      <c r="H51" s="1668"/>
      <c r="I51" s="1668"/>
      <c r="J51" s="1668"/>
      <c r="K51" s="1668"/>
      <c r="L51" s="1668"/>
      <c r="M51" s="1669"/>
      <c r="N51" s="1670" t="s">
        <v>431</v>
      </c>
      <c r="O51" s="1669"/>
      <c r="P51" s="1670" t="s">
        <v>432</v>
      </c>
      <c r="Q51" s="1669"/>
      <c r="R51" s="1670" t="s">
        <v>433</v>
      </c>
      <c r="S51" s="1668"/>
      <c r="T51" s="1668"/>
      <c r="U51" s="1671"/>
    </row>
    <row r="52" spans="1:21" x14ac:dyDescent="0.25">
      <c r="A52" s="1">
        <v>51</v>
      </c>
      <c r="B52" s="1685" t="s">
        <v>434</v>
      </c>
      <c r="C52" s="1686"/>
      <c r="D52" s="1686"/>
      <c r="E52" s="1686"/>
      <c r="F52" s="1686"/>
      <c r="G52" s="1686"/>
      <c r="H52" s="1686"/>
      <c r="I52" s="1686"/>
      <c r="J52" s="1686"/>
      <c r="K52" s="1686"/>
      <c r="L52" s="1686"/>
      <c r="M52" s="1687"/>
      <c r="N52" s="1660" t="str">
        <f>IF(AND('DATI INGRESSO'!$D$17="X",'DATI INGRESSO'!$D$20&lt;&gt;"X"),'DATI INGRESSO'!F107,"X")</f>
        <v>Si</v>
      </c>
      <c r="O52" s="1661"/>
      <c r="P52" s="1403" t="str">
        <f>IF(AND('DATI INGRESSO'!$D$17="X",'DATI INGRESSO'!$D$20&lt;&gt;"X"),'DATI INGRESSO'!G107,"X")</f>
        <v>Positivo</v>
      </c>
      <c r="Q52" s="1601"/>
      <c r="R52" s="1691" t="str">
        <f>IF(AND('DATI INGRESSO'!$D$17="X",'DATI INGRESSO'!$D$20&lt;&gt;"X"),IF('DATI INGRESSO'!H107="","",'DATI INGRESSO'!H107),"X")</f>
        <v>NOTA1</v>
      </c>
      <c r="S52" s="1692"/>
      <c r="T52" s="1692"/>
      <c r="U52" s="1693"/>
    </row>
    <row r="53" spans="1:21" x14ac:dyDescent="0.25">
      <c r="A53" s="1">
        <v>52</v>
      </c>
      <c r="B53" s="1685" t="s">
        <v>435</v>
      </c>
      <c r="C53" s="1686"/>
      <c r="D53" s="1686"/>
      <c r="E53" s="1686"/>
      <c r="F53" s="1686"/>
      <c r="G53" s="1686"/>
      <c r="H53" s="1686"/>
      <c r="I53" s="1686"/>
      <c r="J53" s="1686"/>
      <c r="K53" s="1686"/>
      <c r="L53" s="1686"/>
      <c r="M53" s="1687"/>
      <c r="N53" s="1660" t="str">
        <f>IF(AND('DATI INGRESSO'!$D$17="X",'DATI INGRESSO'!$D$20&lt;&gt;"X"),'DATI INGRESSO'!F108,"X")</f>
        <v>No</v>
      </c>
      <c r="O53" s="1661"/>
      <c r="P53" s="1403" t="str">
        <f>IF(AND('DATI INGRESSO'!$D$17="X",'DATI INGRESSO'!$D$20&lt;&gt;"X"),'DATI INGRESSO'!G108,"X")</f>
        <v>Non eseguita</v>
      </c>
      <c r="Q53" s="1601"/>
      <c r="R53" s="1691" t="str">
        <f>IF(AND('DATI INGRESSO'!$D$17="X",'DATI INGRESSO'!$D$20&lt;&gt;"X"),IF('DATI INGRESSO'!H108="","",'DATI INGRESSO'!H108),"X")</f>
        <v>NOTA2</v>
      </c>
      <c r="S53" s="1692"/>
      <c r="T53" s="1692"/>
      <c r="U53" s="1693"/>
    </row>
    <row r="54" spans="1:21" ht="15.75" thickBot="1" x14ac:dyDescent="0.3">
      <c r="A54" s="1">
        <v>53</v>
      </c>
      <c r="B54" s="1688" t="s">
        <v>436</v>
      </c>
      <c r="C54" s="1689"/>
      <c r="D54" s="1689"/>
      <c r="E54" s="1689"/>
      <c r="F54" s="1689"/>
      <c r="G54" s="1689"/>
      <c r="H54" s="1689"/>
      <c r="I54" s="1689"/>
      <c r="J54" s="1689"/>
      <c r="K54" s="1689"/>
      <c r="L54" s="1689"/>
      <c r="M54" s="1690"/>
      <c r="N54" s="1694" t="str">
        <f>IF(AND('DATI INGRESSO'!$D$17="X",'DATI INGRESSO'!$D$20&lt;&gt;"X"),'DATI INGRESSO'!F109,"X")</f>
        <v>Si</v>
      </c>
      <c r="O54" s="1695"/>
      <c r="P54" s="1664" t="str">
        <f>IF(AND('DATI INGRESSO'!$D$17="X",'DATI INGRESSO'!$D$20&lt;&gt;"X"),'DATI INGRESSO'!G109,"X")</f>
        <v>Negativo</v>
      </c>
      <c r="Q54" s="1696"/>
      <c r="R54" s="1707" t="str">
        <f>IF(AND('DATI INGRESSO'!$D$17="X",'DATI INGRESSO'!$D$20&lt;&gt;"X"),IF('DATI INGRESSO'!H109="","",'DATI INGRESSO'!H109),"X")</f>
        <v>NOTA3</v>
      </c>
      <c r="S54" s="1708"/>
      <c r="T54" s="1708"/>
      <c r="U54" s="1709"/>
    </row>
    <row r="55" spans="1:21" x14ac:dyDescent="0.25">
      <c r="A55" s="1">
        <v>54</v>
      </c>
    </row>
    <row r="56" spans="1:21" x14ac:dyDescent="0.25">
      <c r="A56" s="1">
        <v>55</v>
      </c>
      <c r="B56" s="1600" t="s">
        <v>437</v>
      </c>
      <c r="C56" s="1600"/>
      <c r="D56" s="1600"/>
      <c r="E56" s="1600"/>
      <c r="F56" s="1600"/>
      <c r="G56" s="1600"/>
      <c r="H56" s="110" t="s">
        <v>450</v>
      </c>
      <c r="I56" s="110"/>
      <c r="J56" s="110"/>
      <c r="K56" s="106" t="str">
        <f>IF(AND('DATI INGRESSO'!$D$17="X",'DATI INGRESSO'!$D$20&lt;&gt;"X"),IF('DATI INGRESSO'!H152="X","X",IF('DATI INGRESSO'!H152="","")),"X")</f>
        <v/>
      </c>
      <c r="L56" s="112" t="s">
        <v>452</v>
      </c>
      <c r="M56" s="110"/>
      <c r="N56" s="110"/>
      <c r="O56" s="110"/>
      <c r="P56" s="110"/>
      <c r="Q56" s="106" t="str">
        <f>IF(AND('DATI INGRESSO'!$D$17="X",'DATI INGRESSO'!$D$20&lt;&gt;"X"),IF('DATI INGRESSO'!H155="X","X",IF('DATI INGRESSO'!H155="","")),"X")</f>
        <v>X</v>
      </c>
      <c r="R56" s="1" t="s">
        <v>451</v>
      </c>
    </row>
    <row r="57" spans="1:21" ht="15.75" thickBot="1" x14ac:dyDescent="0.3">
      <c r="A57" s="1">
        <v>56</v>
      </c>
    </row>
    <row r="58" spans="1:21" x14ac:dyDescent="0.25">
      <c r="A58" s="1">
        <v>57</v>
      </c>
      <c r="B58" s="1710" t="s">
        <v>443</v>
      </c>
      <c r="C58" s="1711"/>
      <c r="D58" s="1711"/>
      <c r="E58" s="1711"/>
      <c r="F58" s="1711"/>
      <c r="G58" s="1638"/>
      <c r="H58" s="1697" t="str">
        <f>IF(AND('DATI INGRESSO'!$D$17="X",'DATI INGRESSO'!$D$20&lt;&gt;"X"),LOOKUP('DATI INGRESSO'!C114,TABELLE!B145:B158,TABELLE!C145:C158),"X")</f>
        <v>APPLIED PRECISION</v>
      </c>
      <c r="I58" s="1698"/>
      <c r="J58" s="1698"/>
      <c r="K58" s="1714"/>
      <c r="L58" s="1637" t="s">
        <v>439</v>
      </c>
      <c r="M58" s="1638"/>
      <c r="N58" s="1697" t="str">
        <f>IF(AND('DATI INGRESSO'!$D$17="X",'DATI INGRESSO'!$D$20&lt;&gt;"X"),LOOKUP('DATI INGRESSO'!C114,TABELLE!B145:B158,TABELLE!D145:D158),"X")</f>
        <v>WS2320A</v>
      </c>
      <c r="O58" s="1714"/>
      <c r="P58" s="1637" t="s">
        <v>441</v>
      </c>
      <c r="Q58" s="1638"/>
      <c r="R58" s="1697">
        <f>IF(AND('DATI INGRESSO'!$D$17="X",'DATI INGRESSO'!$D$20&lt;&gt;"X"),LOOKUP('DATI INGRESSO'!C114,TABELLE!B145:B158,TABELLE!E145:E158),"X")</f>
        <v>1352010366</v>
      </c>
      <c r="S58" s="1698"/>
      <c r="T58" s="1698"/>
      <c r="U58" s="1699"/>
    </row>
    <row r="59" spans="1:21" ht="15.75" thickBot="1" x14ac:dyDescent="0.3">
      <c r="A59" s="1">
        <v>58</v>
      </c>
      <c r="B59" s="1712" t="s">
        <v>438</v>
      </c>
      <c r="C59" s="1713"/>
      <c r="D59" s="1713"/>
      <c r="E59" s="1713"/>
      <c r="F59" s="1713"/>
      <c r="G59" s="1642"/>
      <c r="H59" s="1694" t="str">
        <f>IF(AND('DATI INGRESSO'!$D$17="X",'DATI INGRESSO'!$D$20&lt;&gt;"X"),LOOKUP('DATI INGRESSO'!C114,TABELLE!B145:B158,TABELLE!G145:G158),"X")</f>
        <v>CC30022/19</v>
      </c>
      <c r="I59" s="1700"/>
      <c r="J59" s="1700"/>
      <c r="K59" s="1695"/>
      <c r="L59" s="1641" t="s">
        <v>440</v>
      </c>
      <c r="M59" s="1642"/>
      <c r="N59" s="1715">
        <f>IF(AND('DATI INGRESSO'!$D$17="X",'DATI INGRESSO'!$D$20&lt;&gt;"X"),LOOKUP('DATI INGRESSO'!C114,TABELLE!B145:B158,TABELLE!H145:H158),"X")</f>
        <v>43726</v>
      </c>
      <c r="O59" s="1716"/>
      <c r="P59" s="1641" t="s">
        <v>442</v>
      </c>
      <c r="Q59" s="1642"/>
      <c r="R59" s="1694" t="str">
        <f>IF(AND('DATI INGRESSO'!$D$17="X",'DATI INGRESSO'!$D$20&lt;&gt;"X"),LOOKUP('DATI INGRESSO'!C114,TABELLE!B145:B158,TABELLE!J145:J158),"X")</f>
        <v>APPLIED PRECISION LTD</v>
      </c>
      <c r="S59" s="1700"/>
      <c r="T59" s="1700"/>
      <c r="U59" s="1701"/>
    </row>
    <row r="60" spans="1:21" ht="15.75" thickBot="1" x14ac:dyDescent="0.3">
      <c r="A60" s="1">
        <v>59</v>
      </c>
    </row>
    <row r="61" spans="1:21" x14ac:dyDescent="0.25">
      <c r="A61" s="1">
        <v>60</v>
      </c>
      <c r="B61" s="1702" t="s">
        <v>444</v>
      </c>
      <c r="C61" s="1703"/>
      <c r="D61" s="1703"/>
      <c r="E61" s="1704"/>
      <c r="F61" s="1705" t="s">
        <v>445</v>
      </c>
      <c r="G61" s="1703"/>
      <c r="H61" s="1703"/>
      <c r="I61" s="1704"/>
      <c r="J61" s="1705" t="s">
        <v>446</v>
      </c>
      <c r="K61" s="1703"/>
      <c r="L61" s="1703"/>
      <c r="M61" s="1703"/>
      <c r="N61" s="1703"/>
      <c r="O61" s="1703"/>
      <c r="P61" s="1703"/>
      <c r="Q61" s="1703"/>
      <c r="R61" s="1703"/>
      <c r="S61" s="1703"/>
      <c r="T61" s="1703"/>
      <c r="U61" s="1706"/>
    </row>
    <row r="62" spans="1:21" x14ac:dyDescent="0.25">
      <c r="A62" s="1">
        <v>61</v>
      </c>
      <c r="B62" s="1685" t="s">
        <v>447</v>
      </c>
      <c r="C62" s="1686"/>
      <c r="D62" s="1686"/>
      <c r="E62" s="1687"/>
      <c r="F62" s="1660" t="str">
        <f>IF(AND('DATI INGRESSO'!$D$17="X",'DATI INGRESSO'!$D$20&lt;&gt;"X"),IF('DATI INGRESSO'!C120="","",'DATI INGRESSO'!C120),"X")</f>
        <v>1.8.0</v>
      </c>
      <c r="G62" s="1661"/>
      <c r="H62" s="1660" t="str">
        <f>IF(AND('DATI INGRESSO'!$D$17="X",'DATI INGRESSO'!$D$20&lt;&gt;"X"),IF('DATI INGRESSO'!D120="","",'DATI INGRESSO'!D120),"X")</f>
        <v>2.8.0</v>
      </c>
      <c r="I62" s="1661"/>
      <c r="J62" s="1660" t="str">
        <f>IF(AND('DATI INGRESSO'!$D$17="X",'DATI INGRESSO'!$D$20&lt;&gt;"X"),IF('DATI INGRESSO'!E120="","",'DATI INGRESSO'!E120),"X")</f>
        <v>3.8.0</v>
      </c>
      <c r="K62" s="1661"/>
      <c r="L62" s="1660" t="str">
        <f>IF(AND('DATI INGRESSO'!$D$17="X",'DATI INGRESSO'!$D$20&lt;&gt;"X"),IF('DATI INGRESSO'!F120="","",'DATI INGRESSO'!F120),"X")</f>
        <v>5.8.0</v>
      </c>
      <c r="M62" s="1661"/>
      <c r="N62" s="1660" t="str">
        <f>IF(AND('DATI INGRESSO'!$D$17="X",'DATI INGRESSO'!$D$20&lt;&gt;"X"),IF('DATI INGRESSO'!G120="","",'DATI INGRESSO'!G120),"X")</f>
        <v>6.8.0</v>
      </c>
      <c r="O62" s="1661"/>
      <c r="P62" s="1660" t="str">
        <f>IF(AND('DATI INGRESSO'!$D$17="X",'DATI INGRESSO'!$D$20&lt;&gt;"X"),IF('DATI INGRESSO'!H120="","",'DATI INGRESSO'!H120),"X")</f>
        <v>7.8.0</v>
      </c>
      <c r="Q62" s="1661"/>
      <c r="R62" s="1660" t="str">
        <f>IF(AND('DATI INGRESSO'!$D$17="X",'DATI INGRESSO'!$D$20&lt;&gt;"X"),IF('DATI INGRESSO'!I120="","",'DATI INGRESSO'!I120),"X")</f>
        <v>8.8.0</v>
      </c>
      <c r="S62" s="1661"/>
      <c r="T62" s="1660" t="str">
        <f>IF(AND('DATI INGRESSO'!$D$17="X",'DATI INGRESSO'!$D$20&lt;&gt;"X"),IF('DATI INGRESSO'!J120="","",'DATI INGRESSO'!J120),"X")</f>
        <v>kWh</v>
      </c>
      <c r="U62" s="1717"/>
    </row>
    <row r="63" spans="1:21" ht="12.95" customHeight="1" x14ac:dyDescent="0.25">
      <c r="A63" s="1">
        <v>62</v>
      </c>
      <c r="B63" s="1685" t="s">
        <v>448</v>
      </c>
      <c r="C63" s="1686"/>
      <c r="D63" s="1686"/>
      <c r="E63" s="1687"/>
      <c r="F63" s="1660" t="str">
        <f>IF(AND('DATI INGRESSO'!$D$17="X",'DATI INGRESSO'!$D$20&lt;&gt;"X"),IF('DATI INGRESSO'!C123="","",'DATI INGRESSO'!C123),"X")</f>
        <v>000001,20</v>
      </c>
      <c r="G63" s="1661"/>
      <c r="H63" s="1660" t="str">
        <f>IF(AND('DATI INGRESSO'!$D$17="X",'DATI INGRESSO'!$D$20&lt;&gt;"X"),IF('DATI INGRESSO'!D123="","",'DATI INGRESSO'!D123),"X")</f>
        <v>000002,30</v>
      </c>
      <c r="I63" s="1661"/>
      <c r="J63" s="1660" t="str">
        <f>IF(AND('DATI INGRESSO'!$D$17="X",'DATI INGRESSO'!$D$20&lt;&gt;"X"),IF('DATI INGRESSO'!E123="","",'DATI INGRESSO'!E123),"X")</f>
        <v>111111,12</v>
      </c>
      <c r="K63" s="1661"/>
      <c r="L63" s="1660" t="str">
        <f>IF(AND('DATI INGRESSO'!$D$17="X",'DATI INGRESSO'!$D$20&lt;&gt;"X"),IF('DATI INGRESSO'!F123="","",'DATI INGRESSO'!F123),"X")</f>
        <v>222222,12</v>
      </c>
      <c r="M63" s="1661"/>
      <c r="N63" s="1660" t="str">
        <f>IF(AND('DATI INGRESSO'!$D$17="X",'DATI INGRESSO'!$D$20&lt;&gt;"X"),IF('DATI INGRESSO'!G123="","",'DATI INGRESSO'!G123),"X")</f>
        <v>333333,12</v>
      </c>
      <c r="O63" s="1661"/>
      <c r="P63" s="1660" t="str">
        <f>IF(AND('DATI INGRESSO'!$D$17="X",'DATI INGRESSO'!$D$20&lt;&gt;"X"),IF('DATI INGRESSO'!H123="","",'DATI INGRESSO'!H123),"X")</f>
        <v>444444,12</v>
      </c>
      <c r="Q63" s="1661"/>
      <c r="R63" s="1660" t="str">
        <f>IF(AND('DATI INGRESSO'!$D$17="X",'DATI INGRESSO'!$D$20&lt;&gt;"X"),IF('DATI INGRESSO'!I123="","",'DATI INGRESSO'!I123),"X")</f>
        <v>555555,12</v>
      </c>
      <c r="S63" s="1661"/>
      <c r="T63" s="1660" t="str">
        <f>IF(AND('DATI INGRESSO'!$D$17="X",'DATI INGRESSO'!$D$20&lt;&gt;"X"),IF('DATI INGRESSO'!J123="","",'DATI INGRESSO'!J123),"X")</f>
        <v>666666,12</v>
      </c>
      <c r="U63" s="1717"/>
    </row>
    <row r="64" spans="1:21" ht="12.95" customHeight="1" thickBot="1" x14ac:dyDescent="0.3">
      <c r="A64" s="1">
        <v>63</v>
      </c>
      <c r="B64" s="1688" t="s">
        <v>449</v>
      </c>
      <c r="C64" s="1689"/>
      <c r="D64" s="1689"/>
      <c r="E64" s="1690"/>
      <c r="F64" s="1694" t="str">
        <f>IF(AND('DATI INGRESSO'!$D$17="X",'DATI INGRESSO'!$D$20&lt;&gt;"X"),IF('DATI INGRESSO'!C126="","",'DATI INGRESSO'!C126),"X")</f>
        <v>000001,30</v>
      </c>
      <c r="G64" s="1695"/>
      <c r="H64" s="1694" t="str">
        <f>IF(AND('DATI INGRESSO'!$D$17="X",'DATI INGRESSO'!$D$20&lt;&gt;"X"),IF('DATI INGRESSO'!D126="","",'DATI INGRESSO'!D126),"X")</f>
        <v>000002,40</v>
      </c>
      <c r="I64" s="1695"/>
      <c r="J64" s="1694" t="str">
        <f>IF(AND('DATI INGRESSO'!$D$17="X",'DATI INGRESSO'!$D$20&lt;&gt;"X"),IF('DATI INGRESSO'!E126="","",'DATI INGRESSO'!E126),"X")</f>
        <v>111111,13</v>
      </c>
      <c r="K64" s="1695"/>
      <c r="L64" s="1694" t="str">
        <f>IF(AND('DATI INGRESSO'!$D$17="X",'DATI INGRESSO'!$D$20&lt;&gt;"X"),IF('DATI INGRESSO'!F126="","",'DATI INGRESSO'!F126),"X")</f>
        <v>222222,13</v>
      </c>
      <c r="M64" s="1695"/>
      <c r="N64" s="1694" t="str">
        <f>IF(AND('DATI INGRESSO'!$D$17="X",'DATI INGRESSO'!$D$20&lt;&gt;"X"),IF('DATI INGRESSO'!G126="","",'DATI INGRESSO'!G126),"X")</f>
        <v>333333,13</v>
      </c>
      <c r="O64" s="1695"/>
      <c r="P64" s="1694" t="str">
        <f>IF(AND('DATI INGRESSO'!$D$17="X",'DATI INGRESSO'!$D$20&lt;&gt;"X"),IF('DATI INGRESSO'!H126="","",'DATI INGRESSO'!H126),"X")</f>
        <v>444444,13</v>
      </c>
      <c r="Q64" s="1695"/>
      <c r="R64" s="1694" t="str">
        <f>IF(AND('DATI INGRESSO'!$D$17="X",'DATI INGRESSO'!$D$20&lt;&gt;"X"),IF('DATI INGRESSO'!I126="","",'DATI INGRESSO'!I126),"X")</f>
        <v>555555,13</v>
      </c>
      <c r="S64" s="1695"/>
      <c r="T64" s="1694" t="str">
        <f>IF(AND('DATI INGRESSO'!$D$17="X",'DATI INGRESSO'!$D$20&lt;&gt;"X"),IF('DATI INGRESSO'!J126="","",'DATI INGRESSO'!J126),"X")</f>
        <v>666666,13</v>
      </c>
      <c r="U64" s="1701"/>
    </row>
    <row r="65" spans="1:21" x14ac:dyDescent="0.25">
      <c r="A65" s="1">
        <v>64</v>
      </c>
    </row>
    <row r="66" spans="1:21" x14ac:dyDescent="0.25">
      <c r="A66" s="1">
        <v>65</v>
      </c>
      <c r="B66" s="1600" t="s">
        <v>481</v>
      </c>
      <c r="C66" s="1600"/>
      <c r="D66" s="1600"/>
      <c r="E66" s="1600"/>
      <c r="F66" s="1600"/>
      <c r="G66" s="1600"/>
      <c r="H66" s="110" t="s">
        <v>450</v>
      </c>
      <c r="I66" s="110"/>
      <c r="J66" s="110"/>
      <c r="K66" s="106" t="str">
        <f>IF(AND('DATI INGRESSO'!$D$17="X",'DATI INGRESSO'!$D$20&lt;&gt;"X"),IF('DATI INGRESSO'!H158="X","X",IF('DATI INGRESSO'!H158="","")),"X")</f>
        <v/>
      </c>
      <c r="L66" s="112" t="s">
        <v>452</v>
      </c>
      <c r="M66" s="110"/>
      <c r="N66" s="110"/>
      <c r="O66" s="110"/>
      <c r="P66" s="110"/>
      <c r="Q66" s="106" t="str">
        <f>IF(AND('DATI INGRESSO'!$D$17="X",'DATI INGRESSO'!$D$20&lt;&gt;"X"),IF('DATI INGRESSO'!H161="X","X",IF('DATI INGRESSO'!H161="","")),"X")</f>
        <v>X</v>
      </c>
      <c r="R66" s="1" t="s">
        <v>451</v>
      </c>
    </row>
    <row r="67" spans="1:21" ht="4.5" customHeight="1" thickBot="1" x14ac:dyDescent="0.3">
      <c r="A67" s="1">
        <v>66</v>
      </c>
    </row>
    <row r="68" spans="1:21" x14ac:dyDescent="0.25">
      <c r="A68" s="1">
        <v>67</v>
      </c>
      <c r="B68" s="1667" t="s">
        <v>444</v>
      </c>
      <c r="C68" s="1668"/>
      <c r="D68" s="1668"/>
      <c r="E68" s="1669"/>
      <c r="F68" s="1670" t="s">
        <v>445</v>
      </c>
      <c r="G68" s="1668"/>
      <c r="H68" s="1668"/>
      <c r="I68" s="1669"/>
      <c r="J68" s="1670" t="s">
        <v>446</v>
      </c>
      <c r="K68" s="1668"/>
      <c r="L68" s="1668"/>
      <c r="M68" s="1668"/>
      <c r="N68" s="1668"/>
      <c r="O68" s="1668"/>
      <c r="P68" s="1668"/>
      <c r="Q68" s="1668"/>
      <c r="R68" s="1668"/>
      <c r="S68" s="1668"/>
      <c r="T68" s="1668"/>
      <c r="U68" s="1671"/>
    </row>
    <row r="69" spans="1:21" x14ac:dyDescent="0.25">
      <c r="A69" s="1">
        <v>68</v>
      </c>
      <c r="B69" s="1685" t="s">
        <v>447</v>
      </c>
      <c r="C69" s="1686"/>
      <c r="D69" s="1686"/>
      <c r="E69" s="1687"/>
      <c r="F69" s="1660" t="str">
        <f>IF(AND('DATI INGRESSO'!$D$17="X",'DATI INGRESSO'!$D$20&lt;&gt;"X"),IF('DATI INGRESSO'!C132="","",'DATI INGRESSO'!C132),"X")</f>
        <v>1.8.0</v>
      </c>
      <c r="G69" s="1661"/>
      <c r="H69" s="1660" t="str">
        <f>IF(AND('DATI INGRESSO'!$D$17="X",'DATI INGRESSO'!$D$20&lt;&gt;"X"),IF('DATI INGRESSO'!D132="","",'DATI INGRESSO'!D132),"X")</f>
        <v>2.8.0</v>
      </c>
      <c r="I69" s="1661"/>
      <c r="J69" s="1660" t="str">
        <f>IF(AND('DATI INGRESSO'!$D$17="X",'DATI INGRESSO'!$D$20&lt;&gt;"X"),IF('DATI INGRESSO'!E132="","",'DATI INGRESSO'!E132),"X")</f>
        <v>3.8.0</v>
      </c>
      <c r="K69" s="1661"/>
      <c r="L69" s="1660" t="str">
        <f>IF(AND('DATI INGRESSO'!$D$17="X",'DATI INGRESSO'!$D$20&lt;&gt;"X"),IF('DATI INGRESSO'!F132="","",'DATI INGRESSO'!F132),"X")</f>
        <v>5.8.0</v>
      </c>
      <c r="M69" s="1661"/>
      <c r="N69" s="1660" t="str">
        <f>IF(AND('DATI INGRESSO'!$D$17="X",'DATI INGRESSO'!$D$20&lt;&gt;"X"),IF('DATI INGRESSO'!G132="","",'DATI INGRESSO'!G132),"X")</f>
        <v>6.8.0</v>
      </c>
      <c r="O69" s="1661"/>
      <c r="P69" s="1660" t="str">
        <f>IF(AND('DATI INGRESSO'!$D$17="X",'DATI INGRESSO'!$D$20&lt;&gt;"X"),IF('DATI INGRESSO'!H132="","",'DATI INGRESSO'!H132),"X")</f>
        <v>7.8.0</v>
      </c>
      <c r="Q69" s="1661"/>
      <c r="R69" s="1660" t="str">
        <f>IF(AND('DATI INGRESSO'!$D$17="X",'DATI INGRESSO'!$D$20&lt;&gt;"X"),IF('DATI INGRESSO'!I132="","",'DATI INGRESSO'!I132),"X")</f>
        <v>8.8.0</v>
      </c>
      <c r="S69" s="1661"/>
      <c r="T69" s="1660" t="str">
        <f>IF(AND('DATI INGRESSO'!$D$17="X",'DATI INGRESSO'!$D$20&lt;&gt;"X"),IF('DATI INGRESSO'!J132="","",'DATI INGRESSO'!J132),"X")</f>
        <v>kWh</v>
      </c>
      <c r="U69" s="1717"/>
    </row>
    <row r="70" spans="1:21" ht="12.95" customHeight="1" x14ac:dyDescent="0.25">
      <c r="A70" s="1">
        <v>69</v>
      </c>
      <c r="B70" s="1685" t="s">
        <v>448</v>
      </c>
      <c r="C70" s="1686"/>
      <c r="D70" s="1686"/>
      <c r="E70" s="1687"/>
      <c r="F70" s="1660" t="str">
        <f>IF(AND('DATI INGRESSO'!$D$17="X",'DATI INGRESSO'!$D$20&lt;&gt;"X"),IF('DATI INGRESSO'!C135="","",'DATI INGRESSO'!C135),"X")</f>
        <v>000001,40</v>
      </c>
      <c r="G70" s="1661"/>
      <c r="H70" s="1660" t="str">
        <f>IF(AND('DATI INGRESSO'!$D$17="X",'DATI INGRESSO'!$D$20&lt;&gt;"X"),IF('DATI INGRESSO'!D135="","",'DATI INGRESSO'!D135),"X")</f>
        <v>000002,50</v>
      </c>
      <c r="I70" s="1661"/>
      <c r="J70" s="1660" t="str">
        <f>IF(AND('DATI INGRESSO'!$D$17="X",'DATI INGRESSO'!$D$20&lt;&gt;"X"),IF('DATI INGRESSO'!E135="","",'DATI INGRESSO'!E135),"X")</f>
        <v>111111,14</v>
      </c>
      <c r="K70" s="1661"/>
      <c r="L70" s="1660" t="str">
        <f>IF(AND('DATI INGRESSO'!$D$17="X",'DATI INGRESSO'!$D$20&lt;&gt;"X"),IF('DATI INGRESSO'!F135="","",'DATI INGRESSO'!F135),"X")</f>
        <v>222222,14</v>
      </c>
      <c r="M70" s="1661"/>
      <c r="N70" s="1660" t="str">
        <f>IF(AND('DATI INGRESSO'!$D$17="X",'DATI INGRESSO'!$D$20&lt;&gt;"X"),IF('DATI INGRESSO'!G135="","",'DATI INGRESSO'!G135),"X")</f>
        <v>333333,14</v>
      </c>
      <c r="O70" s="1661"/>
      <c r="P70" s="1660" t="str">
        <f>IF(AND('DATI INGRESSO'!$D$17="X",'DATI INGRESSO'!$D$20&lt;&gt;"X"),IF('DATI INGRESSO'!H135="","",'DATI INGRESSO'!H135),"X")</f>
        <v>444444,14</v>
      </c>
      <c r="Q70" s="1661"/>
      <c r="R70" s="1660" t="str">
        <f>IF(AND('DATI INGRESSO'!$D$17="X",'DATI INGRESSO'!$D$20&lt;&gt;"X"),IF('DATI INGRESSO'!I135="","",'DATI INGRESSO'!I135),"X")</f>
        <v>555555,14</v>
      </c>
      <c r="S70" s="1661"/>
      <c r="T70" s="1660" t="str">
        <f>IF(AND('DATI INGRESSO'!$D$17="X",'DATI INGRESSO'!$D$20&lt;&gt;"X"),IF('DATI INGRESSO'!J135="","",'DATI INGRESSO'!J135),"X")</f>
        <v>666666,14</v>
      </c>
      <c r="U70" s="1717"/>
    </row>
    <row r="71" spans="1:21" ht="12.95" customHeight="1" thickBot="1" x14ac:dyDescent="0.3">
      <c r="A71" s="1">
        <v>70</v>
      </c>
      <c r="B71" s="1688" t="s">
        <v>449</v>
      </c>
      <c r="C71" s="1689"/>
      <c r="D71" s="1689"/>
      <c r="E71" s="1690"/>
      <c r="F71" s="1694" t="str">
        <f>IF(AND('DATI INGRESSO'!$D$17="X",'DATI INGRESSO'!$D$20&lt;&gt;"X"),IF('DATI INGRESSO'!C138="","",'DATI INGRESSO'!C138),"X")</f>
        <v>000001,50</v>
      </c>
      <c r="G71" s="1695"/>
      <c r="H71" s="1694" t="str">
        <f>IF(AND('DATI INGRESSO'!$D$17="X",'DATI INGRESSO'!$D$20&lt;&gt;"X"),IF('DATI INGRESSO'!D138="","",'DATI INGRESSO'!D138),"X")</f>
        <v>000002,60</v>
      </c>
      <c r="I71" s="1695"/>
      <c r="J71" s="1694" t="str">
        <f>IF(AND('DATI INGRESSO'!$D$17="X",'DATI INGRESSO'!$D$20&lt;&gt;"X"),IF('DATI INGRESSO'!E138="","",'DATI INGRESSO'!E138),"X")</f>
        <v>111111,15</v>
      </c>
      <c r="K71" s="1695"/>
      <c r="L71" s="1694" t="str">
        <f>IF(AND('DATI INGRESSO'!$D$17="X",'DATI INGRESSO'!$D$20&lt;&gt;"X"),IF('DATI INGRESSO'!F138="","",'DATI INGRESSO'!F138),"X")</f>
        <v>222222,15</v>
      </c>
      <c r="M71" s="1695"/>
      <c r="N71" s="1694" t="str">
        <f>IF(AND('DATI INGRESSO'!$D$17="X",'DATI INGRESSO'!$D$20&lt;&gt;"X"),IF('DATI INGRESSO'!G138="","",'DATI INGRESSO'!G138),"X")</f>
        <v>333333,15</v>
      </c>
      <c r="O71" s="1695"/>
      <c r="P71" s="1694" t="str">
        <f>IF(AND('DATI INGRESSO'!$D$17="X",'DATI INGRESSO'!$D$20&lt;&gt;"X"),IF('DATI INGRESSO'!H138="","",'DATI INGRESSO'!H138),"X")</f>
        <v>444444,15</v>
      </c>
      <c r="Q71" s="1695"/>
      <c r="R71" s="1694" t="str">
        <f>IF(AND('DATI INGRESSO'!$D$17="X",'DATI INGRESSO'!$D$20&lt;&gt;"X"),IF('DATI INGRESSO'!I138="","",'DATI INGRESSO'!I138),"X")</f>
        <v>555555,15</v>
      </c>
      <c r="S71" s="1695"/>
      <c r="T71" s="1694" t="str">
        <f>IF(AND('DATI INGRESSO'!$D$17="X",'DATI INGRESSO'!$D$20&lt;&gt;"X"),IF('DATI INGRESSO'!J138="","",'DATI INGRESSO'!J138),"X")</f>
        <v>666666,15</v>
      </c>
      <c r="U71" s="1701"/>
    </row>
    <row r="72" spans="1:21" ht="6.75" customHeight="1" x14ac:dyDescent="0.25">
      <c r="A72" s="1">
        <v>71</v>
      </c>
    </row>
    <row r="73" spans="1:21" x14ac:dyDescent="0.25">
      <c r="A73" s="1">
        <v>72</v>
      </c>
      <c r="B73" s="1600" t="s">
        <v>453</v>
      </c>
      <c r="C73" s="1600"/>
      <c r="D73" s="1600"/>
      <c r="E73" s="1600"/>
      <c r="F73" s="1600"/>
      <c r="G73" s="1600"/>
    </row>
    <row r="74" spans="1:21" ht="5.25" customHeight="1" thickBot="1" x14ac:dyDescent="0.3">
      <c r="A74" s="1">
        <v>73</v>
      </c>
    </row>
    <row r="75" spans="1:21" ht="12.95" customHeight="1" thickBot="1" x14ac:dyDescent="0.3">
      <c r="A75" s="1">
        <v>74</v>
      </c>
      <c r="B75" s="1718" t="s">
        <v>454</v>
      </c>
      <c r="C75" s="1719"/>
      <c r="D75" s="1719"/>
      <c r="E75" s="1720"/>
      <c r="F75" s="113" t="s">
        <v>455</v>
      </c>
      <c r="G75" s="1567">
        <f>IF(AND('DATI INGRESSO'!$D$17="X",'DATI INGRESSO'!$D$20&lt;&gt;"X"),'DATI INGRESSO'!E276,"X")</f>
        <v>100</v>
      </c>
      <c r="H75" s="1567"/>
      <c r="I75" s="1567"/>
      <c r="J75" s="113" t="s">
        <v>456</v>
      </c>
      <c r="K75" s="1567">
        <f>IF(AND('DATI INGRESSO'!$D$17="X",'DATI INGRESSO'!$D$20&lt;&gt;"X"),'DATI INGRESSO'!G276,"X")</f>
        <v>100</v>
      </c>
      <c r="L75" s="1567"/>
      <c r="M75" s="1567"/>
      <c r="N75" s="113" t="s">
        <v>457</v>
      </c>
      <c r="O75" s="1567">
        <f>IF(AND('DATI INGRESSO'!$D$17="X",'DATI INGRESSO'!$D$20&lt;&gt;"X"),'DATI INGRESSO'!I276,"X")</f>
        <v>100</v>
      </c>
      <c r="P75" s="1567"/>
      <c r="Q75" s="1568"/>
    </row>
    <row r="76" spans="1:21" ht="6.75" customHeight="1" thickBot="1" x14ac:dyDescent="0.3">
      <c r="A76" s="1">
        <v>75</v>
      </c>
    </row>
    <row r="77" spans="1:21" ht="12.95" customHeight="1" thickBot="1" x14ac:dyDescent="0.3">
      <c r="A77" s="1">
        <v>76</v>
      </c>
      <c r="B77" s="1718" t="s">
        <v>458</v>
      </c>
      <c r="C77" s="1719"/>
      <c r="D77" s="1719"/>
      <c r="E77" s="1720"/>
      <c r="F77" s="1725" t="str">
        <f>IF(AND('DATI INGRESSO'!$D$17="X",'DATI INGRESSO'!$D$20&lt;&gt;"X"),IF('DATI INGRESSO'!H152="X","RILEVATO",IF(AND('DATI INGRESSO'!H155="X",'DATI INGRESSO'!H149="X"),"NON ESEGUIBILE",IF(AND('DATI INGRESSO'!H155="X",'DATI INGRESSO'!H149=""),"NON DETERMINABILE",""))),"X")</f>
        <v>NON ESEGUIBILE</v>
      </c>
      <c r="G77" s="1726"/>
      <c r="H77" s="1726"/>
      <c r="I77" s="1727"/>
    </row>
    <row r="78" spans="1:21" ht="7.5" customHeight="1" thickBot="1" x14ac:dyDescent="0.3">
      <c r="A78" s="1">
        <v>77</v>
      </c>
    </row>
    <row r="79" spans="1:21" x14ac:dyDescent="0.25">
      <c r="A79" s="1">
        <v>78</v>
      </c>
      <c r="B79" s="1702" t="s">
        <v>459</v>
      </c>
      <c r="C79" s="1703"/>
      <c r="D79" s="1703"/>
      <c r="E79" s="1703"/>
      <c r="F79" s="1703"/>
      <c r="G79" s="1703"/>
      <c r="H79" s="1703"/>
      <c r="I79" s="1704"/>
      <c r="J79" s="1705" t="s">
        <v>460</v>
      </c>
      <c r="K79" s="1703"/>
      <c r="L79" s="1703"/>
      <c r="M79" s="1704"/>
      <c r="N79" s="1705" t="s">
        <v>461</v>
      </c>
      <c r="O79" s="1703"/>
      <c r="P79" s="1703"/>
      <c r="Q79" s="1704"/>
      <c r="R79" s="1705" t="s">
        <v>462</v>
      </c>
      <c r="S79" s="1704"/>
      <c r="T79" s="1721" t="s">
        <v>463</v>
      </c>
      <c r="U79" s="1722"/>
    </row>
    <row r="80" spans="1:21" x14ac:dyDescent="0.25">
      <c r="A80" s="1">
        <v>79</v>
      </c>
      <c r="B80" s="1730" t="s">
        <v>465</v>
      </c>
      <c r="C80" s="1731"/>
      <c r="D80" s="1732" t="s">
        <v>466</v>
      </c>
      <c r="E80" s="1731"/>
      <c r="F80" s="1732" t="s">
        <v>467</v>
      </c>
      <c r="G80" s="1731"/>
      <c r="H80" s="1732" t="s">
        <v>468</v>
      </c>
      <c r="I80" s="1731"/>
      <c r="J80" s="1732" t="s">
        <v>469</v>
      </c>
      <c r="K80" s="1731"/>
      <c r="L80" s="1732" t="s">
        <v>470</v>
      </c>
      <c r="M80" s="1731"/>
      <c r="N80" s="1732" t="s">
        <v>469</v>
      </c>
      <c r="O80" s="1731"/>
      <c r="P80" s="1732" t="s">
        <v>470</v>
      </c>
      <c r="Q80" s="1731"/>
      <c r="R80" s="1732" t="s">
        <v>471</v>
      </c>
      <c r="S80" s="1731"/>
      <c r="T80" s="1723"/>
      <c r="U80" s="1724"/>
    </row>
    <row r="81" spans="1:21" ht="15" customHeight="1" x14ac:dyDescent="0.25">
      <c r="A81" s="1">
        <v>80</v>
      </c>
      <c r="B81" s="1581">
        <v>1</v>
      </c>
      <c r="C81" s="1582"/>
      <c r="D81" s="1733" t="str">
        <f>IF(AND('DATI INGRESSO'!$D$17="X",'DATI INGRESSO'!$D$20&lt;&gt;"X"),IF('ELABORAZIONE ERRORI'!C11&lt;&gt;"",CONCATENATE(FIXED('ELABORAZIONE ERRORI'!F11*100,'DATI INGRESSO'!$H$166),"%"),""),"X")</f>
        <v>50,4%</v>
      </c>
      <c r="E81" s="1734"/>
      <c r="F81" s="1588" t="str">
        <f>IF(AND('DATI INGRESSO'!$D$17="X",'DATI INGRESSO'!$D$20&lt;&gt;"X"),IF('ELABORAZIONE ERRORI'!C11&lt;&gt;"",CONCATENATE(FIXED('ELABORAZIONE ERRORI'!G11,'DATI INGRESSO'!$H$167),"-",'ELABORAZIONE ERRORI'!H11),""),"X")</f>
        <v>0,94-</v>
      </c>
      <c r="G81" s="1589"/>
      <c r="H81" s="1588" t="str">
        <f>IF(AND('DATI INGRESSO'!$D$17="X",'DATI INGRESSO'!$D$20&lt;&gt;"X"),IF('ELABORAZIONE ERRORI'!C11&lt;&gt;"",FIXED('ELABORAZIONE ERRORI'!I11,'DATI INGRESSO'!$H$168),""),"X")</f>
        <v>2,11</v>
      </c>
      <c r="I81" s="1589"/>
      <c r="J81" s="1578" t="str">
        <f>IF(AND('DATI INGRESSO'!$D$17="X",'DATI INGRESSO'!$D$20&lt;&gt;"X"),IF('ELABORAZIONE ERRORI'!K11="A+",IF(ROUND('ELABORAZIONE ERRORI'!L11,'DATI INGRESSO'!$H$165)&lt;0,FIXED(ROUND('ELABORAZIONE ERRORI'!L11,'DATI INGRESSO'!$H$165),'DATI INGRESSO'!$H$165),CONCATENATE("+",FIXED(ROUND('ELABORAZIONE ERRORI'!L11,'DATI INGRESSO'!$H$165),'DATI INGRESSO'!$H$165))),""),"X")</f>
        <v/>
      </c>
      <c r="K81" s="1579"/>
      <c r="L81" s="1578" t="str">
        <f>IF(AND('DATI INGRESSO'!$D$17="X",'DATI INGRESSO'!$D$20&lt;&gt;"X"),IF('ELABORAZIONE ERRORI'!K11="A-",IF(ROUND('ELABORAZIONE ERRORI'!L11,'DATI INGRESSO'!$H$165)&lt;0,FIXED(ROUND('ELABORAZIONE ERRORI'!L11,'DATI INGRESSO'!$H$165),'DATI INGRESSO'!$H$165),CONCATENATE("+",FIXED(ROUND('ELABORAZIONE ERRORI'!L11,'DATI INGRESSO'!$H$165),'DATI INGRESSO'!$H$165))),""),"X")</f>
        <v>-0,11</v>
      </c>
      <c r="M81" s="1579"/>
      <c r="N81" s="1578" t="str">
        <f>IF(AND('DATI INGRESSO'!$D$17="X",'DATI INGRESSO'!$D$20&lt;&gt;"X"),IF($F$77="RILEVATO",IF('ELABORAZIONE ERRORI'!K11="A+",IF('ELABORAZIONE ERRORI'!P11="-","-",IF(ROUND('ELABORAZIONE ERRORI'!P11,'DATI INGRESSO'!$H$165)&lt;0,FIXED(ROUND('ELABORAZIONE ERRORI'!P11,'DATI INGRESSO'!$H$165),'DATI INGRESSO'!$H$165),CONCATENATE("+",FIXED(ROUND('ELABORAZIONE ERRORI'!P11,'DATI INGRESSO'!$H$165),'DATI INGRESSO'!$H$165)))),""),""),"X")</f>
        <v/>
      </c>
      <c r="O81" s="1579"/>
      <c r="P81" s="1578" t="str">
        <f>IF(AND('DATI INGRESSO'!$D$17="X",'DATI INGRESSO'!$D$20&lt;&gt;"X"),IF($F$77="RILEVATO",IF('ELABORAZIONE ERRORI'!K11="A-",IF('ELABORAZIONE ERRORI'!P11="-","-",IF(ROUND('ELABORAZIONE ERRORI'!P11,'DATI INGRESSO'!$H$165)&lt;0,FIXED(ROUND('ELABORAZIONE ERRORI'!P11,'DATI INGRESSO'!$H$165),'DATI INGRESSO'!$H$165),CONCATENATE("+",FIXED(ROUND('ELABORAZIONE ERRORI'!P11,'DATI INGRESSO'!$H$165),'DATI INGRESSO'!$H$165)))),""),""),"X")</f>
        <v/>
      </c>
      <c r="Q81" s="1579"/>
      <c r="R81" s="1578" t="str">
        <f>IF(AND('DATI INGRESSO'!$D$17="X",'DATI INGRESSO'!$D$20&lt;&gt;"X"),IF('ELABORAZIONE ERRORI'!C11&lt;&gt;"",IF($F$77="RILEVATO",FIXED(ROUND('ELABORAZIONE ERRORI'!S11,'DATI INGRESSO'!$H$165),'DATI INGRESSO'!$H$165),FIXED(ROUND('ELABORAZIONE ERRORI'!Q11,'DATI INGRESSO'!$H$165),'DATI INGRESSO'!$H$165)),""),"X")</f>
        <v>1,05</v>
      </c>
      <c r="S81" s="1579"/>
      <c r="T81" s="1569">
        <f>IF(AND('DATI INGRESSO'!$D$17="X",'DATI INGRESSO'!$D$20&lt;&gt;"X"),'DATI INGRESSO'!K123,"X")</f>
        <v>44041</v>
      </c>
      <c r="U81" s="1570"/>
    </row>
    <row r="82" spans="1:21" x14ac:dyDescent="0.25">
      <c r="A82" s="1">
        <v>81</v>
      </c>
      <c r="B82" s="1581">
        <v>2</v>
      </c>
      <c r="C82" s="1582"/>
      <c r="D82" s="1733" t="str">
        <f>IF(AND('DATI INGRESSO'!$D$17="X",'DATI INGRESSO'!$D$20&lt;&gt;"X"),IF('ELABORAZIONE ERRORI'!C12&lt;&gt;"",CONCATENATE(FIXED('ELABORAZIONE ERRORI'!F12*100,'DATI INGRESSO'!$H$166),"%"),""),"X")</f>
        <v>66,0%</v>
      </c>
      <c r="E82" s="1734"/>
      <c r="F82" s="1588" t="str">
        <f>IF(AND('DATI INGRESSO'!$D$17="X",'DATI INGRESSO'!$D$20&lt;&gt;"X"),IF('ELABORAZIONE ERRORI'!C12&lt;&gt;"",CONCATENATE(FIXED('ELABORAZIONE ERRORI'!G12,'DATI INGRESSO'!$H$167),"-",'ELABORAZIONE ERRORI'!H12),""),"X")</f>
        <v>0,95-</v>
      </c>
      <c r="G82" s="1589"/>
      <c r="H82" s="1588" t="str">
        <f>IF(AND('DATI INGRESSO'!$D$17="X",'DATI INGRESSO'!$D$20&lt;&gt;"X"),IF('ELABORAZIONE ERRORI'!C12&lt;&gt;"",FIXED('ELABORAZIONE ERRORI'!I12,'DATI INGRESSO'!$H$168),""),"X")</f>
        <v>2,11</v>
      </c>
      <c r="I82" s="1589"/>
      <c r="J82" s="1578" t="str">
        <f>IF(AND('DATI INGRESSO'!$D$17="X",'DATI INGRESSO'!$D$20&lt;&gt;"X"),IF('ELABORAZIONE ERRORI'!K12="A+",IF(ROUND('ELABORAZIONE ERRORI'!L12,'DATI INGRESSO'!$H$165)&lt;0,FIXED(ROUND('ELABORAZIONE ERRORI'!L12,'DATI INGRESSO'!$H$165),'DATI INGRESSO'!$H$165),CONCATENATE("+",FIXED(ROUND('ELABORAZIONE ERRORI'!L12,'DATI INGRESSO'!$H$165),'DATI INGRESSO'!$H$165))),""),"X")</f>
        <v>-0,04</v>
      </c>
      <c r="K82" s="1579"/>
      <c r="L82" s="1578" t="str">
        <f>IF(AND('DATI INGRESSO'!$D$17="X",'DATI INGRESSO'!$D$20&lt;&gt;"X"),IF('ELABORAZIONE ERRORI'!K12="A-",IF(ROUND('ELABORAZIONE ERRORI'!L12,'DATI INGRESSO'!$H$165)&lt;0,FIXED(ROUND('ELABORAZIONE ERRORI'!L12,'DATI INGRESSO'!$H$165),'DATI INGRESSO'!$H$165),CONCATENATE("+",FIXED(ROUND('ELABORAZIONE ERRORI'!L12,'DATI INGRESSO'!$H$165),'DATI INGRESSO'!$H$165))),""),"X")</f>
        <v/>
      </c>
      <c r="M82" s="1579"/>
      <c r="N82" s="1578" t="str">
        <f>IF(AND('DATI INGRESSO'!$D$17="X",'DATI INGRESSO'!$D$20&lt;&gt;"X"),IF($F$77="RILEVATO",IF('ELABORAZIONE ERRORI'!K12="A+",IF('ELABORAZIONE ERRORI'!P12="-","-",IF(ROUND('ELABORAZIONE ERRORI'!P12,'DATI INGRESSO'!$H$165)&lt;0,FIXED(ROUND('ELABORAZIONE ERRORI'!P12,'DATI INGRESSO'!$H$165),'DATI INGRESSO'!$H$165),CONCATENATE("+",FIXED(ROUND('ELABORAZIONE ERRORI'!P12,'DATI INGRESSO'!$H$165),'DATI INGRESSO'!$H$165)))),""),""),"X")</f>
        <v/>
      </c>
      <c r="O82" s="1579"/>
      <c r="P82" s="1578" t="str">
        <f>IF(AND('DATI INGRESSO'!$D$17="X",'DATI INGRESSO'!$D$20&lt;&gt;"X"),IF($F$77="RILEVATO",IF('ELABORAZIONE ERRORI'!K12="A-",IF('ELABORAZIONE ERRORI'!P12="-","-",IF(ROUND('ELABORAZIONE ERRORI'!P12,'DATI INGRESSO'!$H$165)&lt;0,FIXED(ROUND('ELABORAZIONE ERRORI'!P12,'DATI INGRESSO'!$H$165),'DATI INGRESSO'!$H$165),CONCATENATE("+",FIXED(ROUND('ELABORAZIONE ERRORI'!P12,'DATI INGRESSO'!$H$165),'DATI INGRESSO'!$H$165)))),""),""),"X")</f>
        <v/>
      </c>
      <c r="Q82" s="1579"/>
      <c r="R82" s="1578" t="str">
        <f>IF(AND('DATI INGRESSO'!$D$17="X",'DATI INGRESSO'!$D$20&lt;&gt;"X"),IF('ELABORAZIONE ERRORI'!C12&lt;&gt;"",IF($F$77="RILEVATO",FIXED(ROUND('ELABORAZIONE ERRORI'!S12,'DATI INGRESSO'!$H$165),'DATI INGRESSO'!$H$165),FIXED(ROUND('ELABORAZIONE ERRORI'!Q12,'DATI INGRESSO'!$H$165),'DATI INGRESSO'!$H$165)),""),"X")</f>
        <v>1,05</v>
      </c>
      <c r="S82" s="1579"/>
      <c r="T82" s="1571">
        <f>IF(AND('DATI INGRESSO'!$D$17="X",'DATI INGRESSO'!$D$20&lt;&gt;"X"),'DATI INGRESSO'!L123,"X")</f>
        <v>0.40902777777777777</v>
      </c>
      <c r="U82" s="1572"/>
    </row>
    <row r="83" spans="1:21" ht="15" customHeight="1" x14ac:dyDescent="0.25">
      <c r="A83" s="1">
        <v>82</v>
      </c>
      <c r="B83" s="1581">
        <v>3</v>
      </c>
      <c r="C83" s="1582"/>
      <c r="D83" s="1733" t="str">
        <f>IF(AND('DATI INGRESSO'!$D$17="X",'DATI INGRESSO'!$D$20&lt;&gt;"X"),IF('ELABORAZIONE ERRORI'!C13&lt;&gt;"",CONCATENATE(FIXED('ELABORAZIONE ERRORI'!F13*100,'DATI INGRESSO'!$H$166),"%"),""),"X")</f>
        <v>65,8%</v>
      </c>
      <c r="E83" s="1734"/>
      <c r="F83" s="1588" t="str">
        <f>IF(AND('DATI INGRESSO'!$D$17="X",'DATI INGRESSO'!$D$20&lt;&gt;"X"),IF('ELABORAZIONE ERRORI'!C13&lt;&gt;"",CONCATENATE(FIXED('ELABORAZIONE ERRORI'!G13,'DATI INGRESSO'!$H$167),"-",'ELABORAZIONE ERRORI'!H13),""),"X")</f>
        <v>0,96-</v>
      </c>
      <c r="G83" s="1589"/>
      <c r="H83" s="1588" t="str">
        <f>IF(AND('DATI INGRESSO'!$D$17="X",'DATI INGRESSO'!$D$20&lt;&gt;"X"),IF('ELABORAZIONE ERRORI'!C13&lt;&gt;"",FIXED('ELABORAZIONE ERRORI'!I13,'DATI INGRESSO'!$H$168),""),"X")</f>
        <v>2,11</v>
      </c>
      <c r="I83" s="1589"/>
      <c r="J83" s="1578" t="str">
        <f>IF(AND('DATI INGRESSO'!$D$17="X",'DATI INGRESSO'!$D$20&lt;&gt;"X"),IF('ELABORAZIONE ERRORI'!K13="A+",IF(ROUND('ELABORAZIONE ERRORI'!L13,'DATI INGRESSO'!$H$165)&lt;0,FIXED(ROUND('ELABORAZIONE ERRORI'!L13,'DATI INGRESSO'!$H$165),'DATI INGRESSO'!$H$165),CONCATENATE("+",FIXED(ROUND('ELABORAZIONE ERRORI'!L13,'DATI INGRESSO'!$H$165),'DATI INGRESSO'!$H$165))),""),"X")</f>
        <v/>
      </c>
      <c r="K83" s="1579"/>
      <c r="L83" s="1578" t="str">
        <f>IF(AND('DATI INGRESSO'!$D$17="X",'DATI INGRESSO'!$D$20&lt;&gt;"X"),IF('ELABORAZIONE ERRORI'!K13="A-",IF(ROUND('ELABORAZIONE ERRORI'!L13,'DATI INGRESSO'!$H$165)&lt;0,FIXED(ROUND('ELABORAZIONE ERRORI'!L13,'DATI INGRESSO'!$H$165),'DATI INGRESSO'!$H$165),CONCATENATE("+",FIXED(ROUND('ELABORAZIONE ERRORI'!L13,'DATI INGRESSO'!$H$165),'DATI INGRESSO'!$H$165))),""),"X")</f>
        <v>+0,17</v>
      </c>
      <c r="M83" s="1579"/>
      <c r="N83" s="1578" t="str">
        <f>IF(AND('DATI INGRESSO'!$D$17="X",'DATI INGRESSO'!$D$20&lt;&gt;"X"),IF($F$77="RILEVATO",IF('ELABORAZIONE ERRORI'!K13="A+",IF('ELABORAZIONE ERRORI'!P13="-","-",IF(ROUND('ELABORAZIONE ERRORI'!P13,'DATI INGRESSO'!$H$165)&lt;0,FIXED(ROUND('ELABORAZIONE ERRORI'!P13,'DATI INGRESSO'!$H$165),'DATI INGRESSO'!$H$165),CONCATENATE("+",FIXED(ROUND('ELABORAZIONE ERRORI'!P13,'DATI INGRESSO'!$H$165),'DATI INGRESSO'!$H$165)))),""),""),"X")</f>
        <v/>
      </c>
      <c r="O83" s="1579"/>
      <c r="P83" s="1578" t="str">
        <f>IF(AND('DATI INGRESSO'!$D$17="X",'DATI INGRESSO'!$D$20&lt;&gt;"X"),IF($F$77="RILEVATO",IF('ELABORAZIONE ERRORI'!K13="A-",IF('ELABORAZIONE ERRORI'!P13="-","-",IF(ROUND('ELABORAZIONE ERRORI'!P13,'DATI INGRESSO'!$H$165)&lt;0,FIXED(ROUND('ELABORAZIONE ERRORI'!P13,'DATI INGRESSO'!$H$165),'DATI INGRESSO'!$H$165),CONCATENATE("+",FIXED(ROUND('ELABORAZIONE ERRORI'!P13,'DATI INGRESSO'!$H$165),'DATI INGRESSO'!$H$165)))),""),""),"X")</f>
        <v/>
      </c>
      <c r="Q83" s="1579"/>
      <c r="R83" s="1578" t="str">
        <f>IF(AND('DATI INGRESSO'!$D$17="X",'DATI INGRESSO'!$D$20&lt;&gt;"X"),IF('ELABORAZIONE ERRORI'!C13&lt;&gt;"",IF($F$77="RILEVATO",FIXED(ROUND('ELABORAZIONE ERRORI'!S13,'DATI INGRESSO'!$H$165),'DATI INGRESSO'!$H$165),FIXED(ROUND('ELABORAZIONE ERRORI'!Q13,'DATI INGRESSO'!$H$165),'DATI INGRESSO'!$H$165)),""),"X")</f>
        <v>1,05</v>
      </c>
      <c r="S83" s="1579"/>
      <c r="T83" s="1728" t="s">
        <v>464</v>
      </c>
      <c r="U83" s="1729"/>
    </row>
    <row r="84" spans="1:21" x14ac:dyDescent="0.25">
      <c r="A84" s="1">
        <v>83</v>
      </c>
      <c r="B84" s="1581">
        <v>4</v>
      </c>
      <c r="C84" s="1582"/>
      <c r="D84" s="1733" t="str">
        <f>IF(AND('DATI INGRESSO'!$D$17="X",'DATI INGRESSO'!$D$20&lt;&gt;"X"),IF('ELABORAZIONE ERRORI'!C14&lt;&gt;"",CONCATENATE(FIXED('ELABORAZIONE ERRORI'!F14*100,'DATI INGRESSO'!$H$166),"%"),""),"X")</f>
        <v>66,0%</v>
      </c>
      <c r="E84" s="1734"/>
      <c r="F84" s="1588" t="str">
        <f>IF(AND('DATI INGRESSO'!$D$17="X",'DATI INGRESSO'!$D$20&lt;&gt;"X"),IF('ELABORAZIONE ERRORI'!C14&lt;&gt;"",CONCATENATE(FIXED('ELABORAZIONE ERRORI'!G14,'DATI INGRESSO'!$H$167),"-",'ELABORAZIONE ERRORI'!H14),""),"X")</f>
        <v>0,97-</v>
      </c>
      <c r="G84" s="1589"/>
      <c r="H84" s="1588" t="str">
        <f>IF(AND('DATI INGRESSO'!$D$17="X",'DATI INGRESSO'!$D$20&lt;&gt;"X"),IF('ELABORAZIONE ERRORI'!C14&lt;&gt;"",FIXED('ELABORAZIONE ERRORI'!I14,'DATI INGRESSO'!$H$168),""),"X")</f>
        <v>2,11</v>
      </c>
      <c r="I84" s="1589"/>
      <c r="J84" s="1578" t="str">
        <f>IF(AND('DATI INGRESSO'!$D$17="X",'DATI INGRESSO'!$D$20&lt;&gt;"X"),IF('ELABORAZIONE ERRORI'!K14="A+",IF(ROUND('ELABORAZIONE ERRORI'!L14,'DATI INGRESSO'!$H$165)&lt;0,FIXED(ROUND('ELABORAZIONE ERRORI'!L14,'DATI INGRESSO'!$H$165),'DATI INGRESSO'!$H$165),CONCATENATE("+",FIXED(ROUND('ELABORAZIONE ERRORI'!L14,'DATI INGRESSO'!$H$165),'DATI INGRESSO'!$H$165))),""),"X")</f>
        <v>-0,07</v>
      </c>
      <c r="K84" s="1579"/>
      <c r="L84" s="1578" t="str">
        <f>IF(AND('DATI INGRESSO'!$D$17="X",'DATI INGRESSO'!$D$20&lt;&gt;"X"),IF('ELABORAZIONE ERRORI'!K14="A-",IF(ROUND('ELABORAZIONE ERRORI'!L14,'DATI INGRESSO'!$H$165)&lt;0,FIXED(ROUND('ELABORAZIONE ERRORI'!L14,'DATI INGRESSO'!$H$165),'DATI INGRESSO'!$H$165),CONCATENATE("+",FIXED(ROUND('ELABORAZIONE ERRORI'!L14,'DATI INGRESSO'!$H$165),'DATI INGRESSO'!$H$165))),""),"X")</f>
        <v/>
      </c>
      <c r="M84" s="1579"/>
      <c r="N84" s="1578" t="str">
        <f>IF(AND('DATI INGRESSO'!$D$17="X",'DATI INGRESSO'!$D$20&lt;&gt;"X"),IF($F$77="RILEVATO",IF('ELABORAZIONE ERRORI'!K14="A+",IF('ELABORAZIONE ERRORI'!P14="-","-",IF(ROUND('ELABORAZIONE ERRORI'!P14,'DATI INGRESSO'!$H$165)&lt;0,FIXED(ROUND('ELABORAZIONE ERRORI'!P14,'DATI INGRESSO'!$H$165),'DATI INGRESSO'!$H$165),CONCATENATE("+",FIXED(ROUND('ELABORAZIONE ERRORI'!P14,'DATI INGRESSO'!$H$165),'DATI INGRESSO'!$H$165)))),""),""),"X")</f>
        <v/>
      </c>
      <c r="O84" s="1579"/>
      <c r="P84" s="1578" t="str">
        <f>IF(AND('DATI INGRESSO'!$D$17="X",'DATI INGRESSO'!$D$20&lt;&gt;"X"),IF($F$77="RILEVATO",IF('ELABORAZIONE ERRORI'!K14="A-",IF('ELABORAZIONE ERRORI'!P14="-","-",IF(ROUND('ELABORAZIONE ERRORI'!P14,'DATI INGRESSO'!$H$165)&lt;0,FIXED(ROUND('ELABORAZIONE ERRORI'!P14,'DATI INGRESSO'!$H$165),'DATI INGRESSO'!$H$165),CONCATENATE("+",FIXED(ROUND('ELABORAZIONE ERRORI'!P14,'DATI INGRESSO'!$H$165),'DATI INGRESSO'!$H$165)))),""),""),"X")</f>
        <v/>
      </c>
      <c r="Q84" s="1579"/>
      <c r="R84" s="1578" t="str">
        <f>IF(AND('DATI INGRESSO'!$D$17="X",'DATI INGRESSO'!$D$20&lt;&gt;"X"),IF('ELABORAZIONE ERRORI'!C14&lt;&gt;"",IF($F$77="RILEVATO",FIXED(ROUND('ELABORAZIONE ERRORI'!S14,'DATI INGRESSO'!$H$165),'DATI INGRESSO'!$H$165),FIXED(ROUND('ELABORAZIONE ERRORI'!Q14,'DATI INGRESSO'!$H$165),'DATI INGRESSO'!$H$165)),""),"X")</f>
        <v>1,05</v>
      </c>
      <c r="S84" s="1579"/>
      <c r="T84" s="1723"/>
      <c r="U84" s="1724"/>
    </row>
    <row r="85" spans="1:21" x14ac:dyDescent="0.25">
      <c r="A85" s="1">
        <v>84</v>
      </c>
      <c r="B85" s="1581">
        <v>5</v>
      </c>
      <c r="C85" s="1582"/>
      <c r="D85" s="1733" t="str">
        <f>IF(AND('DATI INGRESSO'!$D$17="X",'DATI INGRESSO'!$D$20&lt;&gt;"X"),IF('ELABORAZIONE ERRORI'!C15&lt;&gt;"",CONCATENATE(FIXED('ELABORAZIONE ERRORI'!F15*100,'DATI INGRESSO'!$H$166),"%"),""),"X")</f>
        <v>66,0%</v>
      </c>
      <c r="E85" s="1734"/>
      <c r="F85" s="1588" t="str">
        <f>IF(AND('DATI INGRESSO'!$D$17="X",'DATI INGRESSO'!$D$20&lt;&gt;"X"),IF('ELABORAZIONE ERRORI'!C15&lt;&gt;"",CONCATENATE(FIXED('ELABORAZIONE ERRORI'!G15,'DATI INGRESSO'!$H$167),"-",'ELABORAZIONE ERRORI'!H15),""),"X")</f>
        <v>0,98-</v>
      </c>
      <c r="G85" s="1589"/>
      <c r="H85" s="1588" t="str">
        <f>IF(AND('DATI INGRESSO'!$D$17="X",'DATI INGRESSO'!$D$20&lt;&gt;"X"),IF('ELABORAZIONE ERRORI'!C15&lt;&gt;"",FIXED('ELABORAZIONE ERRORI'!I15,'DATI INGRESSO'!$H$168),""),"X")</f>
        <v>2,12</v>
      </c>
      <c r="I85" s="1589"/>
      <c r="J85" s="1578" t="str">
        <f>IF(AND('DATI INGRESSO'!$D$17="X",'DATI INGRESSO'!$D$20&lt;&gt;"X"),IF('ELABORAZIONE ERRORI'!K15="A+",IF(ROUND('ELABORAZIONE ERRORI'!L15,'DATI INGRESSO'!$H$165)&lt;0,FIXED(ROUND('ELABORAZIONE ERRORI'!L15,'DATI INGRESSO'!$H$165),'DATI INGRESSO'!$H$165),CONCATENATE("+",FIXED(ROUND('ELABORAZIONE ERRORI'!L15,'DATI INGRESSO'!$H$165),'DATI INGRESSO'!$H$165))),""),"X")</f>
        <v/>
      </c>
      <c r="K85" s="1579"/>
      <c r="L85" s="1578" t="str">
        <f>IF(AND('DATI INGRESSO'!$D$17="X",'DATI INGRESSO'!$D$20&lt;&gt;"X"),IF('ELABORAZIONE ERRORI'!K15="A-",IF(ROUND('ELABORAZIONE ERRORI'!L15,'DATI INGRESSO'!$H$165)&lt;0,FIXED(ROUND('ELABORAZIONE ERRORI'!L15,'DATI INGRESSO'!$H$165),'DATI INGRESSO'!$H$165),CONCATENATE("+",FIXED(ROUND('ELABORAZIONE ERRORI'!L15,'DATI INGRESSO'!$H$165),'DATI INGRESSO'!$H$165))),""),"X")</f>
        <v>+0,08</v>
      </c>
      <c r="M85" s="1579"/>
      <c r="N85" s="1578" t="str">
        <f>IF(AND('DATI INGRESSO'!$D$17="X",'DATI INGRESSO'!$D$20&lt;&gt;"X"),IF($F$77="RILEVATO",IF('ELABORAZIONE ERRORI'!K15="A+",IF('ELABORAZIONE ERRORI'!P15="-","-",IF(ROUND('ELABORAZIONE ERRORI'!P15,'DATI INGRESSO'!$H$165)&lt;0,FIXED(ROUND('ELABORAZIONE ERRORI'!P15,'DATI INGRESSO'!$H$165),'DATI INGRESSO'!$H$165),CONCATENATE("+",FIXED(ROUND('ELABORAZIONE ERRORI'!P15,'DATI INGRESSO'!$H$165),'DATI INGRESSO'!$H$165)))),""),""),"X")</f>
        <v/>
      </c>
      <c r="O85" s="1579"/>
      <c r="P85" s="1578" t="str">
        <f>IF(AND('DATI INGRESSO'!$D$17="X",'DATI INGRESSO'!$D$20&lt;&gt;"X"),IF($F$77="RILEVATO",IF('ELABORAZIONE ERRORI'!K15="A-",IF('ELABORAZIONE ERRORI'!P15="-","-",IF(ROUND('ELABORAZIONE ERRORI'!P15,'DATI INGRESSO'!$H$165)&lt;0,FIXED(ROUND('ELABORAZIONE ERRORI'!P15,'DATI INGRESSO'!$H$165),'DATI INGRESSO'!$H$165),CONCATENATE("+",FIXED(ROUND('ELABORAZIONE ERRORI'!P15,'DATI INGRESSO'!$H$165),'DATI INGRESSO'!$H$165)))),""),""),"X")</f>
        <v/>
      </c>
      <c r="Q85" s="1579"/>
      <c r="R85" s="1578" t="str">
        <f>IF(AND('DATI INGRESSO'!$D$17="X",'DATI INGRESSO'!$D$20&lt;&gt;"X"),IF('ELABORAZIONE ERRORI'!C15&lt;&gt;"",IF($F$77="RILEVATO",FIXED(ROUND('ELABORAZIONE ERRORI'!S15,'DATI INGRESSO'!$H$165),'DATI INGRESSO'!$H$165),FIXED(ROUND('ELABORAZIONE ERRORI'!Q15,'DATI INGRESSO'!$H$165),'DATI INGRESSO'!$H$165)),""),"X")</f>
        <v>1,05</v>
      </c>
      <c r="S85" s="1579"/>
      <c r="T85" s="1569">
        <f>IF(AND('DATI INGRESSO'!$D$17="X",'DATI INGRESSO'!$D$20&lt;&gt;"X"),'DATI INGRESSO'!K126,"X")</f>
        <v>44041</v>
      </c>
      <c r="U85" s="1570"/>
    </row>
    <row r="86" spans="1:21" ht="15.75" thickBot="1" x14ac:dyDescent="0.3">
      <c r="A86" s="1">
        <v>85</v>
      </c>
      <c r="B86" s="1592">
        <v>6</v>
      </c>
      <c r="C86" s="1593"/>
      <c r="D86" s="1735" t="str">
        <f>IF(AND('DATI INGRESSO'!$D$17="X",'DATI INGRESSO'!$D$20&lt;&gt;"X"),IF('ELABORAZIONE ERRORI'!C16&lt;&gt;"",CONCATENATE(FIXED('ELABORAZIONE ERRORI'!F16*100,'DATI INGRESSO'!$H$166),"%"),""),"X")</f>
        <v>65,8%</v>
      </c>
      <c r="E86" s="1736"/>
      <c r="F86" s="1598" t="str">
        <f>IF(AND('DATI INGRESSO'!$D$17="X",'DATI INGRESSO'!$D$20&lt;&gt;"X"),IF('ELABORAZIONE ERRORI'!C16&lt;&gt;"",CONCATENATE(FIXED('ELABORAZIONE ERRORI'!G16,'DATI INGRESSO'!$H$167),"-",'ELABORAZIONE ERRORI'!H16),""),"X")</f>
        <v>0,99-</v>
      </c>
      <c r="G86" s="1599"/>
      <c r="H86" s="1598" t="str">
        <f>IF(AND('DATI INGRESSO'!$D$17="X",'DATI INGRESSO'!$D$20&lt;&gt;"X"),IF('ELABORAZIONE ERRORI'!C16&lt;&gt;"",FIXED('ELABORAZIONE ERRORI'!I16,'DATI INGRESSO'!$H$168),""),"X")</f>
        <v>2,12</v>
      </c>
      <c r="I86" s="1599"/>
      <c r="J86" s="1576" t="str">
        <f>IF(AND('DATI INGRESSO'!$D$17="X",'DATI INGRESSO'!$D$20&lt;&gt;"X"),IF('ELABORAZIONE ERRORI'!K16="A+",IF(ROUND('ELABORAZIONE ERRORI'!L16,'DATI INGRESSO'!$H$165)&lt;0,FIXED(ROUND('ELABORAZIONE ERRORI'!L16,'DATI INGRESSO'!$H$165),'DATI INGRESSO'!$H$165),CONCATENATE("+",FIXED(ROUND('ELABORAZIONE ERRORI'!L16,'DATI INGRESSO'!$H$165),'DATI INGRESSO'!$H$165))),""),"X")</f>
        <v>+0,08</v>
      </c>
      <c r="K86" s="1577"/>
      <c r="L86" s="1576" t="str">
        <f>IF(AND('DATI INGRESSO'!$D$17="X",'DATI INGRESSO'!$D$20&lt;&gt;"X"),IF('ELABORAZIONE ERRORI'!K16="A-",IF(ROUND('ELABORAZIONE ERRORI'!L16,'DATI INGRESSO'!$H$165)&lt;0,FIXED(ROUND('ELABORAZIONE ERRORI'!L16,'DATI INGRESSO'!$H$165),'DATI INGRESSO'!$H$165),CONCATENATE("+",FIXED(ROUND('ELABORAZIONE ERRORI'!L16,'DATI INGRESSO'!$H$165),'DATI INGRESSO'!$H$165))),""),"X")</f>
        <v/>
      </c>
      <c r="M86" s="1577"/>
      <c r="N86" s="1576" t="str">
        <f>IF(AND('DATI INGRESSO'!$D$17="X",'DATI INGRESSO'!$D$20&lt;&gt;"X"),IF($F$77="RILEVATO",IF('ELABORAZIONE ERRORI'!K16="A+",IF('ELABORAZIONE ERRORI'!P16="-","-",IF(ROUND('ELABORAZIONE ERRORI'!P16,'DATI INGRESSO'!$H$165)&lt;0,FIXED(ROUND('ELABORAZIONE ERRORI'!P16,'DATI INGRESSO'!$H$165),'DATI INGRESSO'!$H$165),CONCATENATE("+",FIXED(ROUND('ELABORAZIONE ERRORI'!P16,'DATI INGRESSO'!$H$165),'DATI INGRESSO'!$H$165)))),""),""),"X")</f>
        <v/>
      </c>
      <c r="O86" s="1577"/>
      <c r="P86" s="1576" t="str">
        <f>IF(AND('DATI INGRESSO'!$D$17="X",'DATI INGRESSO'!$D$20&lt;&gt;"X"),IF($F$77="RILEVATO",IF('ELABORAZIONE ERRORI'!K16="A-",IF('ELABORAZIONE ERRORI'!P16="-","-",IF(ROUND('ELABORAZIONE ERRORI'!P16,'DATI INGRESSO'!$H$165)&lt;0,FIXED(ROUND('ELABORAZIONE ERRORI'!P16,'DATI INGRESSO'!$H$165),'DATI INGRESSO'!$H$165),CONCATENATE("+",FIXED(ROUND('ELABORAZIONE ERRORI'!P16,'DATI INGRESSO'!$H$165),'DATI INGRESSO'!$H$165)))),""),""),"X")</f>
        <v/>
      </c>
      <c r="Q86" s="1577"/>
      <c r="R86" s="1576" t="str">
        <f>IF(AND('DATI INGRESSO'!$D$17="X",'DATI INGRESSO'!$D$20&lt;&gt;"X"),IF('ELABORAZIONE ERRORI'!C16&lt;&gt;"",IF($F$77="RILEVATO",FIXED(ROUND('ELABORAZIONE ERRORI'!S16,'DATI INGRESSO'!$H$165),'DATI INGRESSO'!$H$165),FIXED(ROUND('ELABORAZIONE ERRORI'!Q16,'DATI INGRESSO'!$H$165),'DATI INGRESSO'!$H$165)),""),"X")</f>
        <v>1,05</v>
      </c>
      <c r="S86" s="1577"/>
      <c r="T86" s="1573">
        <f>IF(AND('DATI INGRESSO'!$D$17="X",'DATI INGRESSO'!$D$20&lt;&gt;"X"),'DATI INGRESSO'!L126,"X")</f>
        <v>0.42708333333333331</v>
      </c>
      <c r="U86" s="1574"/>
    </row>
    <row r="87" spans="1:21" ht="7.5" customHeight="1" thickBot="1" x14ac:dyDescent="0.3">
      <c r="A87" s="1">
        <v>86</v>
      </c>
    </row>
    <row r="88" spans="1:21" ht="12.95" customHeight="1" thickBot="1" x14ac:dyDescent="0.3">
      <c r="A88" s="1">
        <v>87</v>
      </c>
      <c r="B88" s="1718" t="s">
        <v>454</v>
      </c>
      <c r="C88" s="1719"/>
      <c r="D88" s="1719"/>
      <c r="E88" s="1719"/>
      <c r="F88" s="113" t="s">
        <v>455</v>
      </c>
      <c r="G88" s="1567">
        <f>IF(AND('DATI INGRESSO'!$D$17="X",'DATI INGRESSO'!$D$20&lt;&gt;"X"),'DATI INGRESSO'!E369,"X")</f>
        <v>99.9</v>
      </c>
      <c r="H88" s="1567"/>
      <c r="I88" s="1737"/>
      <c r="J88" s="113" t="s">
        <v>456</v>
      </c>
      <c r="K88" s="1567">
        <f>IF(AND('DATI INGRESSO'!$D$17="X",'DATI INGRESSO'!$D$20&lt;&gt;"X"),'DATI INGRESSO'!G369,"X")</f>
        <v>99.9</v>
      </c>
      <c r="L88" s="1567"/>
      <c r="M88" s="1737"/>
      <c r="N88" s="113" t="s">
        <v>457</v>
      </c>
      <c r="O88" s="1567">
        <f>IF(AND('DATI INGRESSO'!$D$17="X",'DATI INGRESSO'!$D$20&lt;&gt;"X"),'DATI INGRESSO'!I369,"X")</f>
        <v>99.9</v>
      </c>
      <c r="P88" s="1567"/>
      <c r="Q88" s="1568"/>
    </row>
    <row r="89" spans="1:21" ht="7.5" customHeight="1" thickBot="1" x14ac:dyDescent="0.3">
      <c r="A89" s="1">
        <v>88</v>
      </c>
    </row>
    <row r="90" spans="1:21" ht="12.95" customHeight="1" thickBot="1" x14ac:dyDescent="0.3">
      <c r="A90" s="1">
        <v>89</v>
      </c>
      <c r="B90" s="1718" t="s">
        <v>472</v>
      </c>
      <c r="C90" s="1719"/>
      <c r="D90" s="1719"/>
      <c r="E90" s="1720"/>
      <c r="F90" s="1738" t="str">
        <f>IF(AND('DATI INGRESSO'!$D$17="X",'DATI INGRESSO'!$D$20&lt;&gt;"X"),IF('DATI INGRESSO'!E372="X","RETE",IF('DATI INGRESSO'!G372="X","CARICO FITTIZIO","")),"X")</f>
        <v>RETE</v>
      </c>
      <c r="G90" s="1567"/>
      <c r="H90" s="1567"/>
      <c r="I90" s="1567"/>
      <c r="J90" s="1567"/>
      <c r="K90" s="1737"/>
      <c r="L90" s="1739" t="s">
        <v>458</v>
      </c>
      <c r="M90" s="1719"/>
      <c r="N90" s="1719"/>
      <c r="O90" s="1720"/>
      <c r="P90" s="1725" t="str">
        <f>IF(AND('DATI INGRESSO'!$D$17="X",'DATI INGRESSO'!$D$20&lt;&gt;"X"),IF('DATI INGRESSO'!H158="X","RILEVATO",IF(AND('DATI INGRESSO'!H161="X",'DATI INGRESSO'!H149="X"),"CALCOLATO",IF(AND('DATI INGRESSO'!H161="X",'DATI INGRESSO'!H149=""),"NON DETERMINABILE",""))),"X")</f>
        <v>CALCOLATO</v>
      </c>
      <c r="Q90" s="1726"/>
      <c r="R90" s="1726"/>
      <c r="S90" s="1726"/>
      <c r="T90" s="1727"/>
    </row>
    <row r="91" spans="1:21" ht="6.75" customHeight="1" thickBot="1" x14ac:dyDescent="0.3">
      <c r="A91" s="1">
        <v>90</v>
      </c>
    </row>
    <row r="92" spans="1:21" ht="12.95" customHeight="1" x14ac:dyDescent="0.25">
      <c r="A92" s="1">
        <v>91</v>
      </c>
      <c r="B92" s="1702" t="s">
        <v>364</v>
      </c>
      <c r="C92" s="1703"/>
      <c r="D92" s="1703"/>
      <c r="E92" s="1703"/>
      <c r="F92" s="1703"/>
      <c r="G92" s="1703"/>
      <c r="H92" s="1703"/>
      <c r="I92" s="1704"/>
      <c r="J92" s="1705" t="s">
        <v>460</v>
      </c>
      <c r="K92" s="1703"/>
      <c r="L92" s="1703"/>
      <c r="M92" s="1704"/>
      <c r="N92" s="1705" t="s">
        <v>461</v>
      </c>
      <c r="O92" s="1703"/>
      <c r="P92" s="1703"/>
      <c r="Q92" s="1704"/>
      <c r="R92" s="1705" t="s">
        <v>462</v>
      </c>
      <c r="S92" s="1704"/>
      <c r="T92" s="1721" t="s">
        <v>463</v>
      </c>
      <c r="U92" s="1722"/>
    </row>
    <row r="93" spans="1:21" x14ac:dyDescent="0.25">
      <c r="A93" s="1">
        <v>92</v>
      </c>
      <c r="B93" s="1730" t="s">
        <v>465</v>
      </c>
      <c r="C93" s="1731"/>
      <c r="D93" s="1732" t="s">
        <v>473</v>
      </c>
      <c r="E93" s="1731"/>
      <c r="F93" s="1732" t="s">
        <v>466</v>
      </c>
      <c r="G93" s="1731"/>
      <c r="H93" s="1732" t="s">
        <v>467</v>
      </c>
      <c r="I93" s="1731"/>
      <c r="J93" s="1732" t="s">
        <v>469</v>
      </c>
      <c r="K93" s="1731"/>
      <c r="L93" s="1732" t="s">
        <v>470</v>
      </c>
      <c r="M93" s="1731"/>
      <c r="N93" s="1732" t="s">
        <v>469</v>
      </c>
      <c r="O93" s="1731"/>
      <c r="P93" s="1732" t="s">
        <v>470</v>
      </c>
      <c r="Q93" s="1731"/>
      <c r="R93" s="1732" t="s">
        <v>471</v>
      </c>
      <c r="S93" s="1731"/>
      <c r="T93" s="1723"/>
      <c r="U93" s="1724"/>
    </row>
    <row r="94" spans="1:21" x14ac:dyDescent="0.25">
      <c r="A94" s="1">
        <v>93</v>
      </c>
      <c r="B94" s="1581">
        <v>1</v>
      </c>
      <c r="C94" s="1582"/>
      <c r="D94" s="1584" t="str">
        <f>IF(AND('DATI INGRESSO'!$D$17="X",'DATI INGRESSO'!$D$20&lt;&gt;"X"),IF(OR('DATI INGRESSO'!$H$180="X",'DATI INGRESSO'!$H$183="X"),"R-S-T",IF('DATI INGRESSO'!$H$186="X","-L-")),"X")</f>
        <v>R-S-T</v>
      </c>
      <c r="E94" s="1585"/>
      <c r="F94" s="1586" t="str">
        <f>IF(AND('DATI INGRESSO'!$D$17="X",'DATI INGRESSO'!$D$20&lt;&gt;"X"),IF('ELABORAZIONE ERRORI'!C17&lt;&gt;"",CONCATENATE(FIXED('ELABORAZIONE ERRORI'!F17*100,'DATI INGRESSO'!$H$166),"%"),""),"X")</f>
        <v>5,0%</v>
      </c>
      <c r="G94" s="1587"/>
      <c r="H94" s="1588" t="str">
        <f>IF(AND('DATI INGRESSO'!$D$17="X",'DATI INGRESSO'!$D$20&lt;&gt;"X"),IF('ELABORAZIONE ERRORI'!C17&lt;&gt;"",CONCATENATE(FIXED('ELABORAZIONE ERRORI'!G17,'DATI INGRESSO'!$H$167),"-",'ELABORAZIONE ERRORI'!H17),""),"X")</f>
        <v>1,00-L</v>
      </c>
      <c r="I94" s="1589"/>
      <c r="J94" s="1578" t="str">
        <f>IF(AND('DATI INGRESSO'!$D$17="X",'DATI INGRESSO'!$D$20&lt;&gt;"X"),IF('ELABORAZIONE ERRORI'!K17="A+",IF('ELABORAZIONE ERRORI'!L17="-","",IF(ROUND('ELABORAZIONE ERRORI'!L17,'DATI INGRESSO'!$H$165)&lt;0,FIXED(ROUND('ELABORAZIONE ERRORI'!L17,'DATI INGRESSO'!$H$165),'DATI INGRESSO'!$H$165),CONCATENATE("+",FIXED(ROUND('ELABORAZIONE ERRORI'!L17,'DATI INGRESSO'!$H$165),'DATI INGRESSO'!$H$165)))),IF('ELABORAZIONE ERRORI'!K28="A+",IF('ELABORAZIONE ERRORI'!L28="-","",IF(ROUND('ELABORAZIONE ERRORI'!L28,'DATI INGRESSO'!$H$165)&lt;0,FIXED(ROUND('ELABORAZIONE ERRORI'!L28,'DATI INGRESSO'!$H$165),'DATI INGRESSO'!$H$165),CONCATENATE("+",FIXED(ROUND('ELABORAZIONE ERRORI'!L28,'DATI INGRESSO'!$H$165),'DATI INGRESSO'!$H$165)))),"")),"X")</f>
        <v>+0,01</v>
      </c>
      <c r="K94" s="1579"/>
      <c r="L94" s="1578" t="str">
        <f>IF(AND('DATI INGRESSO'!$D$17="X",'DATI INGRESSO'!$D$20&lt;&gt;"X"),IF('ELABORAZIONE ERRORI'!K17="A-",IF('ELABORAZIONE ERRORI'!L17="-","",IF(ROUND('ELABORAZIONE ERRORI'!L17,'DATI INGRESSO'!$H$165)&lt;0,FIXED(ROUND('ELABORAZIONE ERRORI'!L17,'DATI INGRESSO'!$H$165),'DATI INGRESSO'!$H$165),CONCATENATE("+",FIXED(ROUND('ELABORAZIONE ERRORI'!L17,'DATI INGRESSO'!$H$165),'DATI INGRESSO'!$H$165)))),IF('ELABORAZIONE ERRORI'!K28="A-",IF('ELABORAZIONE ERRORI'!L28="-","",IF(ROUND('ELABORAZIONE ERRORI'!L28,'DATI INGRESSO'!$H$165)&lt;0,FIXED(ROUND('ELABORAZIONE ERRORI'!L28,'DATI INGRESSO'!$H$165),'DATI INGRESSO'!$H$165),CONCATENATE("+",FIXED(ROUND('ELABORAZIONE ERRORI'!L28,'DATI INGRESSO'!$H$165),'DATI INGRESSO'!$H$165)))),"")),"X")</f>
        <v>+0,10</v>
      </c>
      <c r="M94" s="1579"/>
      <c r="N94" s="1578" t="str">
        <f>IF(AND('DATI INGRESSO'!$D$17="X",'DATI INGRESSO'!$D$20&lt;&gt;"X"),IF('ELABORAZIONE ERRORI'!K17="A+",IF('ELABORAZIONE ERRORI'!P17="-","",IF(ROUND('ELABORAZIONE ERRORI'!P17,'DATI INGRESSO'!$H$165)&lt;0,FIXED(ROUND('ELABORAZIONE ERRORI'!P17,'DATI INGRESSO'!$H$165),'DATI INGRESSO'!$H$165),CONCATENATE("+",FIXED(ROUND('ELABORAZIONE ERRORI'!P17,'DATI INGRESSO'!$H$165),'DATI INGRESSO'!$H$165)))),IF('ELABORAZIONE ERRORI'!K28="A+",IF('ELABORAZIONE ERRORI'!P28="-","",IF(ROUND('ELABORAZIONE ERRORI'!P28,'DATI INGRESSO'!$H$165)&lt;0,FIXED(ROUND('ELABORAZIONE ERRORI'!P28,'DATI INGRESSO'!$H$165),'DATI INGRESSO'!$H$165),CONCATENATE("+",FIXED(ROUND('ELABORAZIONE ERRORI'!P28,'DATI INGRESSO'!$H$165),'DATI INGRESSO'!$H$165)))),"")),"X")</f>
        <v>+0,16</v>
      </c>
      <c r="O94" s="1579"/>
      <c r="P94" s="1578" t="str">
        <f>IF(AND('DATI INGRESSO'!$D$17="X",'DATI INGRESSO'!$D$20&lt;&gt;"X"),IF('ELABORAZIONE ERRORI'!K17="A-",IF('ELABORAZIONE ERRORI'!P17="-","",IF(ROUND('ELABORAZIONE ERRORI'!P17,'DATI INGRESSO'!$H$165)&lt;0,FIXED(ROUND('ELABORAZIONE ERRORI'!P17,'DATI INGRESSO'!$H$165),'DATI INGRESSO'!$H$165),CONCATENATE("+",FIXED(ROUND('ELABORAZIONE ERRORI'!P17,'DATI INGRESSO'!$H$165),'DATI INGRESSO'!$H$165)))),IF('ELABORAZIONE ERRORI'!K28="A-",IF('ELABORAZIONE ERRORI'!P28="-","",IF(ROUND('ELABORAZIONE ERRORI'!P28,'DATI INGRESSO'!$H$165)&lt;0,FIXED(ROUND('ELABORAZIONE ERRORI'!P28,'DATI INGRESSO'!$H$165),'DATI INGRESSO'!$H$165),CONCATENATE("+",FIXED(ROUND('ELABORAZIONE ERRORI'!P28,'DATI INGRESSO'!$H$165),'DATI INGRESSO'!$H$165)))),"")),"X")</f>
        <v>+0,25</v>
      </c>
      <c r="Q94" s="1579"/>
      <c r="R94" s="1580" t="str">
        <f>IF(AND('DATI INGRESSO'!$D$17="X",'DATI INGRESSO'!$D$20&lt;&gt;"X"),IF('ELABORAZIONE ERRORI'!C17&lt;&gt;"",IF(OR($P$90="RILEVATO",$P$90="CALCOLATO"),FIXED(ROUND('ELABORAZIONE ERRORI'!S17,'DATI INGRESSO'!$H$165),'DATI INGRESSO'!$H$165),FIXED(ROUND('ELABORAZIONE ERRORI'!Q17,'DATI INGRESSO'!$H$165),'DATI INGRESSO'!$H$165)),""),"X")</f>
        <v>1,57</v>
      </c>
      <c r="S94" s="1580"/>
      <c r="T94" s="1569">
        <f>IF(AND('DATI INGRESSO'!$D$17="X",'DATI INGRESSO'!$D$20&lt;&gt;"X"),IF('DATI INGRESSO'!K135&lt;&gt;"",'DATI INGRESSO'!K135,"-"),"X")</f>
        <v>44041</v>
      </c>
      <c r="U94" s="1570"/>
    </row>
    <row r="95" spans="1:21" x14ac:dyDescent="0.25">
      <c r="A95" s="1">
        <v>94</v>
      </c>
      <c r="B95" s="1581">
        <v>2</v>
      </c>
      <c r="C95" s="1582"/>
      <c r="D95" s="1584" t="str">
        <f>IF(AND('DATI INGRESSO'!$D$17="X",'DATI INGRESSO'!$D$20&lt;&gt;"X"),IF(OR('DATI INGRESSO'!$H$180="X",'DATI INGRESSO'!$H$183="X"),"R-S-T",IF('DATI INGRESSO'!$H$186="X","-L-")),"X")</f>
        <v>R-S-T</v>
      </c>
      <c r="E95" s="1585"/>
      <c r="F95" s="1586" t="str">
        <f>IF(AND('DATI INGRESSO'!$D$17="X",'DATI INGRESSO'!$D$20&lt;&gt;"X"),IF('ELABORAZIONE ERRORI'!C18&lt;&gt;"",CONCATENATE(FIXED('ELABORAZIONE ERRORI'!F18*100,'DATI INGRESSO'!$H$166),"%"),""),"X")</f>
        <v>5,0%</v>
      </c>
      <c r="G95" s="1587"/>
      <c r="H95" s="1588" t="str">
        <f>IF(AND('DATI INGRESSO'!$D$17="X",'DATI INGRESSO'!$D$20&lt;&gt;"X"),IF('ELABORAZIONE ERRORI'!C18&lt;&gt;"",CONCATENATE(FIXED('ELABORAZIONE ERRORI'!G18,'DATI INGRESSO'!$H$167),"-",'ELABORAZIONE ERRORI'!H18),""),"X")</f>
        <v>0,50-L</v>
      </c>
      <c r="I95" s="1589"/>
      <c r="J95" s="1578" t="str">
        <f>IF(AND('DATI INGRESSO'!$D$17="X",'DATI INGRESSO'!$D$20&lt;&gt;"X"),IF('ELABORAZIONE ERRORI'!K18="A+",IF('ELABORAZIONE ERRORI'!L18="-","",IF(ROUND('ELABORAZIONE ERRORI'!L18,'DATI INGRESSO'!$H$165)&lt;0,FIXED(ROUND('ELABORAZIONE ERRORI'!L18,'DATI INGRESSO'!$H$165),'DATI INGRESSO'!$H$165),CONCATENATE("+",FIXED(ROUND('ELABORAZIONE ERRORI'!L18,'DATI INGRESSO'!$H$165),'DATI INGRESSO'!$H$165)))),IF('ELABORAZIONE ERRORI'!K29="A+",IF('ELABORAZIONE ERRORI'!L29="-","",IF(ROUND('ELABORAZIONE ERRORI'!L29,'DATI INGRESSO'!$H$165)&lt;0,FIXED(ROUND('ELABORAZIONE ERRORI'!L29,'DATI INGRESSO'!$H$165),'DATI INGRESSO'!$H$165),CONCATENATE("+",FIXED(ROUND('ELABORAZIONE ERRORI'!L29,'DATI INGRESSO'!$H$165),'DATI INGRESSO'!$H$165)))),"")),"X")</f>
        <v>+0,02</v>
      </c>
      <c r="K95" s="1579"/>
      <c r="L95" s="1578" t="str">
        <f>IF(AND('DATI INGRESSO'!$D$17="X",'DATI INGRESSO'!$D$20&lt;&gt;"X"),IF('ELABORAZIONE ERRORI'!K18="A-",IF('ELABORAZIONE ERRORI'!L18="-","",IF(ROUND('ELABORAZIONE ERRORI'!L18,'DATI INGRESSO'!$H$165)&lt;0,FIXED(ROUND('ELABORAZIONE ERRORI'!L18,'DATI INGRESSO'!$H$165),'DATI INGRESSO'!$H$165),CONCATENATE("+",FIXED(ROUND('ELABORAZIONE ERRORI'!L18,'DATI INGRESSO'!$H$165),'DATI INGRESSO'!$H$165)))),IF('ELABORAZIONE ERRORI'!K29="A-",IF('ELABORAZIONE ERRORI'!L29="-","",IF(ROUND('ELABORAZIONE ERRORI'!L29,'DATI INGRESSO'!$H$165)&lt;0,FIXED(ROUND('ELABORAZIONE ERRORI'!L29,'DATI INGRESSO'!$H$165),'DATI INGRESSO'!$H$165),CONCATENATE("+",FIXED(ROUND('ELABORAZIONE ERRORI'!L29,'DATI INGRESSO'!$H$165),'DATI INGRESSO'!$H$165)))),"")),"X")</f>
        <v>+0,11</v>
      </c>
      <c r="M95" s="1579"/>
      <c r="N95" s="1578" t="str">
        <f>IF(AND('DATI INGRESSO'!$D$17="X",'DATI INGRESSO'!$D$20&lt;&gt;"X"),IF('ELABORAZIONE ERRORI'!K18="A+",IF('ELABORAZIONE ERRORI'!P18="-","",IF(ROUND('ELABORAZIONE ERRORI'!P18,'DATI INGRESSO'!$H$165)&lt;0,FIXED(ROUND('ELABORAZIONE ERRORI'!P18,'DATI INGRESSO'!$H$165),'DATI INGRESSO'!$H$165),CONCATENATE("+",FIXED(ROUND('ELABORAZIONE ERRORI'!P18,'DATI INGRESSO'!$H$165),'DATI INGRESSO'!$H$165)))),IF('ELABORAZIONE ERRORI'!K29="A+",IF('ELABORAZIONE ERRORI'!P29="-","",IF(ROUND('ELABORAZIONE ERRORI'!P29,'DATI INGRESSO'!$H$165)&lt;0,FIXED(ROUND('ELABORAZIONE ERRORI'!P29,'DATI INGRESSO'!$H$165),'DATI INGRESSO'!$H$165),CONCATENATE("+",FIXED(ROUND('ELABORAZIONE ERRORI'!P29,'DATI INGRESSO'!$H$165),'DATI INGRESSO'!$H$165)))),"")),"X")</f>
        <v>-0,04</v>
      </c>
      <c r="O95" s="1579"/>
      <c r="P95" s="1578" t="str">
        <f>IF(AND('DATI INGRESSO'!$D$17="X",'DATI INGRESSO'!$D$20&lt;&gt;"X"),IF('ELABORAZIONE ERRORI'!K18="A-",IF('ELABORAZIONE ERRORI'!P18="-","",IF(ROUND('ELABORAZIONE ERRORI'!P18,'DATI INGRESSO'!$H$165)&lt;0,FIXED(ROUND('ELABORAZIONE ERRORI'!P18,'DATI INGRESSO'!$H$165),'DATI INGRESSO'!$H$165),CONCATENATE("+",FIXED(ROUND('ELABORAZIONE ERRORI'!P18,'DATI INGRESSO'!$H$165),'DATI INGRESSO'!$H$165)))),IF('ELABORAZIONE ERRORI'!K29="A-",IF('ELABORAZIONE ERRORI'!P29="-","",IF(ROUND('ELABORAZIONE ERRORI'!P29,'DATI INGRESSO'!$H$165)&lt;0,FIXED(ROUND('ELABORAZIONE ERRORI'!P29,'DATI INGRESSO'!$H$165),'DATI INGRESSO'!$H$165),CONCATENATE("+",FIXED(ROUND('ELABORAZIONE ERRORI'!P29,'DATI INGRESSO'!$H$165),'DATI INGRESSO'!$H$165)))),"")),"X")</f>
        <v>+0,05</v>
      </c>
      <c r="Q95" s="1579"/>
      <c r="R95" s="1580" t="str">
        <f>IF(AND('DATI INGRESSO'!$D$17="X",'DATI INGRESSO'!$D$20&lt;&gt;"X"),IF('ELABORAZIONE ERRORI'!C18&lt;&gt;"",IF(OR($P$90="RILEVATO",$P$90="CALCOLATO"),FIXED(ROUND('ELABORAZIONE ERRORI'!S18,'DATI INGRESSO'!$H$165),'DATI INGRESSO'!$H$165),FIXED(ROUND('ELABORAZIONE ERRORI'!Q18,'DATI INGRESSO'!$H$165),'DATI INGRESSO'!$H$165)),""),"X")</f>
        <v>3,92</v>
      </c>
      <c r="S95" s="1580"/>
      <c r="T95" s="1571">
        <f>IF(AND('DATI INGRESSO'!$D$17="X",'DATI INGRESSO'!$D$20&lt;&gt;"X"),IF('DATI INGRESSO'!L135&lt;&gt;"",'DATI INGRESSO'!L135,"-"),"X")</f>
        <v>0.42777777777777781</v>
      </c>
      <c r="U95" s="1572"/>
    </row>
    <row r="96" spans="1:21" x14ac:dyDescent="0.25">
      <c r="A96" s="1">
        <v>95</v>
      </c>
      <c r="B96" s="1581">
        <v>3</v>
      </c>
      <c r="C96" s="1582"/>
      <c r="D96" s="1584" t="str">
        <f>IF(AND('DATI INGRESSO'!$D$17="X",'DATI INGRESSO'!$D$20&lt;&gt;"X"),IF(OR('DATI INGRESSO'!$H$180="X",'DATI INGRESSO'!$H$183="X"),"R-S-T",IF('DATI INGRESSO'!$H$186="X","-L-")),"X")</f>
        <v>R-S-T</v>
      </c>
      <c r="E96" s="1585"/>
      <c r="F96" s="1586" t="str">
        <f>IF(AND('DATI INGRESSO'!$D$17="X",'DATI INGRESSO'!$D$20&lt;&gt;"X"),IF('ELABORAZIONE ERRORI'!C19&lt;&gt;"",CONCATENATE(FIXED('ELABORAZIONE ERRORI'!F19*100,'DATI INGRESSO'!$H$166),"%"),""),"X")</f>
        <v>20,0%</v>
      </c>
      <c r="G96" s="1587"/>
      <c r="H96" s="1588" t="str">
        <f>IF(AND('DATI INGRESSO'!$D$17="X",'DATI INGRESSO'!$D$20&lt;&gt;"X"),IF('ELABORAZIONE ERRORI'!C19&lt;&gt;"",CONCATENATE(FIXED('ELABORAZIONE ERRORI'!G19,'DATI INGRESSO'!$H$167),"-",'ELABORAZIONE ERRORI'!H19),""),"X")</f>
        <v>1,00-L</v>
      </c>
      <c r="I96" s="1589"/>
      <c r="J96" s="1578" t="str">
        <f>IF(AND('DATI INGRESSO'!$D$17="X",'DATI INGRESSO'!$D$20&lt;&gt;"X"),IF('ELABORAZIONE ERRORI'!K19="A+",IF('ELABORAZIONE ERRORI'!L19="-","",IF(ROUND('ELABORAZIONE ERRORI'!L19,'DATI INGRESSO'!$H$165)&lt;0,FIXED(ROUND('ELABORAZIONE ERRORI'!L19,'DATI INGRESSO'!$H$165),'DATI INGRESSO'!$H$165),CONCATENATE("+",FIXED(ROUND('ELABORAZIONE ERRORI'!L19,'DATI INGRESSO'!$H$165),'DATI INGRESSO'!$H$165)))),IF('ELABORAZIONE ERRORI'!K30="A+",IF('ELABORAZIONE ERRORI'!L30="-","",IF(ROUND('ELABORAZIONE ERRORI'!L30,'DATI INGRESSO'!$H$165)&lt;0,FIXED(ROUND('ELABORAZIONE ERRORI'!L30,'DATI INGRESSO'!$H$165),'DATI INGRESSO'!$H$165),CONCATENATE("+",FIXED(ROUND('ELABORAZIONE ERRORI'!L30,'DATI INGRESSO'!$H$165),'DATI INGRESSO'!$H$165)))),"")),"X")</f>
        <v>+0,03</v>
      </c>
      <c r="K96" s="1579"/>
      <c r="L96" s="1578" t="str">
        <f>IF(AND('DATI INGRESSO'!$D$17="X",'DATI INGRESSO'!$D$20&lt;&gt;"X"),IF('ELABORAZIONE ERRORI'!K19="A-",IF('ELABORAZIONE ERRORI'!L19="-","",IF(ROUND('ELABORAZIONE ERRORI'!L19,'DATI INGRESSO'!$H$165)&lt;0,FIXED(ROUND('ELABORAZIONE ERRORI'!L19,'DATI INGRESSO'!$H$165),'DATI INGRESSO'!$H$165),CONCATENATE("+",FIXED(ROUND('ELABORAZIONE ERRORI'!L19,'DATI INGRESSO'!$H$165),'DATI INGRESSO'!$H$165)))),IF('ELABORAZIONE ERRORI'!K30="A-",IF('ELABORAZIONE ERRORI'!L30="-","",IF(ROUND('ELABORAZIONE ERRORI'!L30,'DATI INGRESSO'!$H$165)&lt;0,FIXED(ROUND('ELABORAZIONE ERRORI'!L30,'DATI INGRESSO'!$H$165),'DATI INGRESSO'!$H$165),CONCATENATE("+",FIXED(ROUND('ELABORAZIONE ERRORI'!L30,'DATI INGRESSO'!$H$165),'DATI INGRESSO'!$H$165)))),"")),"X")</f>
        <v>+0,12</v>
      </c>
      <c r="M96" s="1579"/>
      <c r="N96" s="1578" t="str">
        <f>IF(AND('DATI INGRESSO'!$D$17="X",'DATI INGRESSO'!$D$20&lt;&gt;"X"),IF('ELABORAZIONE ERRORI'!K19="A+",IF('ELABORAZIONE ERRORI'!P19="-","",IF(ROUND('ELABORAZIONE ERRORI'!P19,'DATI INGRESSO'!$H$165)&lt;0,FIXED(ROUND('ELABORAZIONE ERRORI'!P19,'DATI INGRESSO'!$H$165),'DATI INGRESSO'!$H$165),CONCATENATE("+",FIXED(ROUND('ELABORAZIONE ERRORI'!P19,'DATI INGRESSO'!$H$165),'DATI INGRESSO'!$H$165)))),IF('ELABORAZIONE ERRORI'!K30="A+",IF('ELABORAZIONE ERRORI'!P30="-","",IF(ROUND('ELABORAZIONE ERRORI'!P30,'DATI INGRESSO'!$H$165)&lt;0,FIXED(ROUND('ELABORAZIONE ERRORI'!P30,'DATI INGRESSO'!$H$165),'DATI INGRESSO'!$H$165),CONCATENATE("+",FIXED(ROUND('ELABORAZIONE ERRORI'!P30,'DATI INGRESSO'!$H$165),'DATI INGRESSO'!$H$165)))),"")),"X")</f>
        <v>+0,17</v>
      </c>
      <c r="O96" s="1579"/>
      <c r="P96" s="1578" t="str">
        <f>IF(AND('DATI INGRESSO'!$D$17="X",'DATI INGRESSO'!$D$20&lt;&gt;"X"),IF('ELABORAZIONE ERRORI'!K19="A-",IF('ELABORAZIONE ERRORI'!P19="-","",IF(ROUND('ELABORAZIONE ERRORI'!P19,'DATI INGRESSO'!$H$165)&lt;0,FIXED(ROUND('ELABORAZIONE ERRORI'!P19,'DATI INGRESSO'!$H$165),'DATI INGRESSO'!$H$165),CONCATENATE("+",FIXED(ROUND('ELABORAZIONE ERRORI'!P19,'DATI INGRESSO'!$H$165),'DATI INGRESSO'!$H$165)))),IF('ELABORAZIONE ERRORI'!K30="A-",IF('ELABORAZIONE ERRORI'!P30="-","",IF(ROUND('ELABORAZIONE ERRORI'!P30,'DATI INGRESSO'!$H$165)&lt;0,FIXED(ROUND('ELABORAZIONE ERRORI'!P30,'DATI INGRESSO'!$H$165),'DATI INGRESSO'!$H$165),CONCATENATE("+",FIXED(ROUND('ELABORAZIONE ERRORI'!P30,'DATI INGRESSO'!$H$165),'DATI INGRESSO'!$H$165)))),"")),"X")</f>
        <v>+0,26</v>
      </c>
      <c r="Q96" s="1579"/>
      <c r="R96" s="1580" t="str">
        <f>IF(AND('DATI INGRESSO'!$D$17="X",'DATI INGRESSO'!$D$20&lt;&gt;"X"),IF('ELABORAZIONE ERRORI'!C19&lt;&gt;"",IF(OR($P$90="RILEVATO",$P$90="CALCOLATO"),FIXED(ROUND('ELABORAZIONE ERRORI'!S19,'DATI INGRESSO'!$H$165),'DATI INGRESSO'!$H$165),FIXED(ROUND('ELABORAZIONE ERRORI'!Q19,'DATI INGRESSO'!$H$165),'DATI INGRESSO'!$H$165)),""),"X")</f>
        <v>1,33</v>
      </c>
      <c r="S96" s="1580"/>
      <c r="T96" s="114"/>
      <c r="U96" s="115"/>
    </row>
    <row r="97" spans="1:21" x14ac:dyDescent="0.25">
      <c r="A97" s="1">
        <v>96</v>
      </c>
      <c r="B97" s="1581">
        <v>4</v>
      </c>
      <c r="C97" s="1582"/>
      <c r="D97" s="1584" t="str">
        <f>IF(AND('DATI INGRESSO'!$D$17="X",'DATI INGRESSO'!$D$20&lt;&gt;"X"),IF(OR('DATI INGRESSO'!$H$180="X",'DATI INGRESSO'!$H$183="X"),"R-S-T",IF('DATI INGRESSO'!$H$186="X","-L-")),"X")</f>
        <v>R-S-T</v>
      </c>
      <c r="E97" s="1585"/>
      <c r="F97" s="1586" t="str">
        <f>IF(AND('DATI INGRESSO'!$D$17="X",'DATI INGRESSO'!$D$20&lt;&gt;"X"),IF('ELABORAZIONE ERRORI'!C20&lt;&gt;"",CONCATENATE(FIXED('ELABORAZIONE ERRORI'!F20*100,'DATI INGRESSO'!$H$166),"%"),""),"X")</f>
        <v>20,0%</v>
      </c>
      <c r="G97" s="1587"/>
      <c r="H97" s="1588" t="str">
        <f>IF(AND('DATI INGRESSO'!$D$17="X",'DATI INGRESSO'!$D$20&lt;&gt;"X"),IF('ELABORAZIONE ERRORI'!C20&lt;&gt;"",CONCATENATE(FIXED('ELABORAZIONE ERRORI'!G20,'DATI INGRESSO'!$H$167),"-",'ELABORAZIONE ERRORI'!H20),""),"X")</f>
        <v>0,50-L</v>
      </c>
      <c r="I97" s="1589"/>
      <c r="J97" s="1578" t="str">
        <f>IF(AND('DATI INGRESSO'!$D$17="X",'DATI INGRESSO'!$D$20&lt;&gt;"X"),IF('ELABORAZIONE ERRORI'!K20="A+",IF('ELABORAZIONE ERRORI'!L20="-","",IF(ROUND('ELABORAZIONE ERRORI'!L20,'DATI INGRESSO'!$H$165)&lt;0,FIXED(ROUND('ELABORAZIONE ERRORI'!L20,'DATI INGRESSO'!$H$165),'DATI INGRESSO'!$H$165),CONCATENATE("+",FIXED(ROUND('ELABORAZIONE ERRORI'!L20,'DATI INGRESSO'!$H$165),'DATI INGRESSO'!$H$165)))),IF('ELABORAZIONE ERRORI'!K31="A+",IF('ELABORAZIONE ERRORI'!L31="-","",IF(ROUND('ELABORAZIONE ERRORI'!L31,'DATI INGRESSO'!$H$165)&lt;0,FIXED(ROUND('ELABORAZIONE ERRORI'!L31,'DATI INGRESSO'!$H$165),'DATI INGRESSO'!$H$165),CONCATENATE("+",FIXED(ROUND('ELABORAZIONE ERRORI'!L31,'DATI INGRESSO'!$H$165),'DATI INGRESSO'!$H$165)))),"")),"X")</f>
        <v>+0,04</v>
      </c>
      <c r="K97" s="1579"/>
      <c r="L97" s="1578" t="str">
        <f>IF(AND('DATI INGRESSO'!$D$17="X",'DATI INGRESSO'!$D$20&lt;&gt;"X"),IF('ELABORAZIONE ERRORI'!K20="A-",IF('ELABORAZIONE ERRORI'!L20="-","",IF(ROUND('ELABORAZIONE ERRORI'!L20,'DATI INGRESSO'!$H$165)&lt;0,FIXED(ROUND('ELABORAZIONE ERRORI'!L20,'DATI INGRESSO'!$H$165),'DATI INGRESSO'!$H$165),CONCATENATE("+",FIXED(ROUND('ELABORAZIONE ERRORI'!L20,'DATI INGRESSO'!$H$165),'DATI INGRESSO'!$H$165)))),IF('ELABORAZIONE ERRORI'!K31="A-",IF('ELABORAZIONE ERRORI'!L31="-","",IF(ROUND('ELABORAZIONE ERRORI'!L31,'DATI INGRESSO'!$H$165)&lt;0,FIXED(ROUND('ELABORAZIONE ERRORI'!L31,'DATI INGRESSO'!$H$165),'DATI INGRESSO'!$H$165),CONCATENATE("+",FIXED(ROUND('ELABORAZIONE ERRORI'!L31,'DATI INGRESSO'!$H$165),'DATI INGRESSO'!$H$165)))),"")),"X")</f>
        <v>+0,13</v>
      </c>
      <c r="M97" s="1579"/>
      <c r="N97" s="1578" t="str">
        <f>IF(AND('DATI INGRESSO'!$D$17="X",'DATI INGRESSO'!$D$20&lt;&gt;"X"),IF('ELABORAZIONE ERRORI'!K20="A+",IF('ELABORAZIONE ERRORI'!P20="-","",IF(ROUND('ELABORAZIONE ERRORI'!P20,'DATI INGRESSO'!$H$165)&lt;0,FIXED(ROUND('ELABORAZIONE ERRORI'!P20,'DATI INGRESSO'!$H$165),'DATI INGRESSO'!$H$165),CONCATENATE("+",FIXED(ROUND('ELABORAZIONE ERRORI'!P20,'DATI INGRESSO'!$H$165),'DATI INGRESSO'!$H$165)))),IF('ELABORAZIONE ERRORI'!K31="A+",IF('ELABORAZIONE ERRORI'!P31="-","",IF(ROUND('ELABORAZIONE ERRORI'!P31,'DATI INGRESSO'!$H$165)&lt;0,FIXED(ROUND('ELABORAZIONE ERRORI'!P31,'DATI INGRESSO'!$H$165),'DATI INGRESSO'!$H$165),CONCATENATE("+",FIXED(ROUND('ELABORAZIONE ERRORI'!P31,'DATI INGRESSO'!$H$165),'DATI INGRESSO'!$H$165)))),"")),"X")</f>
        <v>-0,01</v>
      </c>
      <c r="O97" s="1579"/>
      <c r="P97" s="1578" t="str">
        <f>IF(AND('DATI INGRESSO'!$D$17="X",'DATI INGRESSO'!$D$20&lt;&gt;"X"),IF('ELABORAZIONE ERRORI'!K20="A-",IF('ELABORAZIONE ERRORI'!P20="-","",IF(ROUND('ELABORAZIONE ERRORI'!P20,'DATI INGRESSO'!$H$165)&lt;0,FIXED(ROUND('ELABORAZIONE ERRORI'!P20,'DATI INGRESSO'!$H$165),'DATI INGRESSO'!$H$165),CONCATENATE("+",FIXED(ROUND('ELABORAZIONE ERRORI'!P20,'DATI INGRESSO'!$H$165),'DATI INGRESSO'!$H$165)))),IF('ELABORAZIONE ERRORI'!K31="A-",IF('ELABORAZIONE ERRORI'!P31="-","",IF(ROUND('ELABORAZIONE ERRORI'!P31,'DATI INGRESSO'!$H$165)&lt;0,FIXED(ROUND('ELABORAZIONE ERRORI'!P31,'DATI INGRESSO'!$H$165),'DATI INGRESSO'!$H$165),CONCATENATE("+",FIXED(ROUND('ELABORAZIONE ERRORI'!P31,'DATI INGRESSO'!$H$165),'DATI INGRESSO'!$H$165)))),"")),"X")</f>
        <v>+0,08</v>
      </c>
      <c r="Q97" s="1579"/>
      <c r="R97" s="1580" t="str">
        <f>IF(AND('DATI INGRESSO'!$D$17="X",'DATI INGRESSO'!$D$20&lt;&gt;"X"),IF('ELABORAZIONE ERRORI'!C20&lt;&gt;"",IF(OR($P$90="RILEVATO",$P$90="CALCOLATO"),FIXED(ROUND('ELABORAZIONE ERRORI'!S20,'DATI INGRESSO'!$H$165),'DATI INGRESSO'!$H$165),FIXED(ROUND('ELABORAZIONE ERRORI'!Q20,'DATI INGRESSO'!$H$165),'DATI INGRESSO'!$H$165)),""),"X")</f>
        <v>2,80</v>
      </c>
      <c r="S97" s="1580"/>
      <c r="T97" s="116"/>
      <c r="U97" s="18"/>
    </row>
    <row r="98" spans="1:21" x14ac:dyDescent="0.25">
      <c r="A98" s="1">
        <v>97</v>
      </c>
      <c r="B98" s="1581">
        <v>5</v>
      </c>
      <c r="C98" s="1582"/>
      <c r="D98" s="1584" t="str">
        <f>IF(AND('DATI INGRESSO'!$D$17="X",'DATI INGRESSO'!$D$20&lt;&gt;"X"),IF(OR('DATI INGRESSO'!$H$180="X",'DATI INGRESSO'!$H$183="X"),"R-S-T",IF('DATI INGRESSO'!$H$186="X","-L-")),"X")</f>
        <v>R-S-T</v>
      </c>
      <c r="E98" s="1585"/>
      <c r="F98" s="1586" t="str">
        <f>IF(AND('DATI INGRESSO'!$D$17="X",'DATI INGRESSO'!$D$20&lt;&gt;"X"),IF('ELABORAZIONE ERRORI'!C21&lt;&gt;"",CONCATENATE(FIXED('ELABORAZIONE ERRORI'!F21*100,'DATI INGRESSO'!$H$166),"%"),""),"X")</f>
        <v>100,0%</v>
      </c>
      <c r="G98" s="1587"/>
      <c r="H98" s="1588" t="str">
        <f>IF(AND('DATI INGRESSO'!$D$17="X",'DATI INGRESSO'!$D$20&lt;&gt;"X"),IF('ELABORAZIONE ERRORI'!C21&lt;&gt;"",CONCATENATE(FIXED('ELABORAZIONE ERRORI'!G21,'DATI INGRESSO'!$H$167),"-",'ELABORAZIONE ERRORI'!H21),""),"X")</f>
        <v>1,00-L</v>
      </c>
      <c r="I98" s="1589"/>
      <c r="J98" s="1578" t="str">
        <f>IF(AND('DATI INGRESSO'!$D$17="X",'DATI INGRESSO'!$D$20&lt;&gt;"X"),IF('ELABORAZIONE ERRORI'!K21="A+",IF('ELABORAZIONE ERRORI'!L21="-","",IF(ROUND('ELABORAZIONE ERRORI'!L21,'DATI INGRESSO'!$H$165)&lt;0,FIXED(ROUND('ELABORAZIONE ERRORI'!L21,'DATI INGRESSO'!$H$165),'DATI INGRESSO'!$H$165),CONCATENATE("+",FIXED(ROUND('ELABORAZIONE ERRORI'!L21,'DATI INGRESSO'!$H$165),'DATI INGRESSO'!$H$165)))),IF('ELABORAZIONE ERRORI'!K32="A+",IF('ELABORAZIONE ERRORI'!L32="-","",IF(ROUND('ELABORAZIONE ERRORI'!L32,'DATI INGRESSO'!$H$165)&lt;0,FIXED(ROUND('ELABORAZIONE ERRORI'!L32,'DATI INGRESSO'!$H$165),'DATI INGRESSO'!$H$165),CONCATENATE("+",FIXED(ROUND('ELABORAZIONE ERRORI'!L32,'DATI INGRESSO'!$H$165),'DATI INGRESSO'!$H$165)))),"")),"X")</f>
        <v>+0,05</v>
      </c>
      <c r="K98" s="1579"/>
      <c r="L98" s="1578" t="str">
        <f>IF(AND('DATI INGRESSO'!$D$17="X",'DATI INGRESSO'!$D$20&lt;&gt;"X"),IF('ELABORAZIONE ERRORI'!K21="A-",IF('ELABORAZIONE ERRORI'!L21="-","",IF(ROUND('ELABORAZIONE ERRORI'!L21,'DATI INGRESSO'!$H$165)&lt;0,FIXED(ROUND('ELABORAZIONE ERRORI'!L21,'DATI INGRESSO'!$H$165),'DATI INGRESSO'!$H$165),CONCATENATE("+",FIXED(ROUND('ELABORAZIONE ERRORI'!L21,'DATI INGRESSO'!$H$165),'DATI INGRESSO'!$H$165)))),IF('ELABORAZIONE ERRORI'!K32="A-",IF('ELABORAZIONE ERRORI'!L32="-","",IF(ROUND('ELABORAZIONE ERRORI'!L32,'DATI INGRESSO'!$H$165)&lt;0,FIXED(ROUND('ELABORAZIONE ERRORI'!L32,'DATI INGRESSO'!$H$165),'DATI INGRESSO'!$H$165),CONCATENATE("+",FIXED(ROUND('ELABORAZIONE ERRORI'!L32,'DATI INGRESSO'!$H$165),'DATI INGRESSO'!$H$165)))),"")),"X")</f>
        <v>+0,14</v>
      </c>
      <c r="M98" s="1579"/>
      <c r="N98" s="1578" t="str">
        <f>IF(AND('DATI INGRESSO'!$D$17="X",'DATI INGRESSO'!$D$20&lt;&gt;"X"),IF('ELABORAZIONE ERRORI'!K21="A+",IF('ELABORAZIONE ERRORI'!P21="-","",IF(ROUND('ELABORAZIONE ERRORI'!P21,'DATI INGRESSO'!$H$165)&lt;0,FIXED(ROUND('ELABORAZIONE ERRORI'!P21,'DATI INGRESSO'!$H$165),'DATI INGRESSO'!$H$165),CONCATENATE("+",FIXED(ROUND('ELABORAZIONE ERRORI'!P21,'DATI INGRESSO'!$H$165),'DATI INGRESSO'!$H$165)))),IF('ELABORAZIONE ERRORI'!K32="A+",IF('ELABORAZIONE ERRORI'!P32="-","",IF(ROUND('ELABORAZIONE ERRORI'!P32,'DATI INGRESSO'!$H$165)&lt;0,FIXED(ROUND('ELABORAZIONE ERRORI'!P32,'DATI INGRESSO'!$H$165),'DATI INGRESSO'!$H$165),CONCATENATE("+",FIXED(ROUND('ELABORAZIONE ERRORI'!P32,'DATI INGRESSO'!$H$165),'DATI INGRESSO'!$H$165)))),"")),"X")</f>
        <v>+0,18</v>
      </c>
      <c r="O98" s="1579"/>
      <c r="P98" s="1578" t="str">
        <f>IF(AND('DATI INGRESSO'!$D$17="X",'DATI INGRESSO'!$D$20&lt;&gt;"X"),IF('ELABORAZIONE ERRORI'!K21="A-",IF('ELABORAZIONE ERRORI'!P21="-","",IF(ROUND('ELABORAZIONE ERRORI'!P21,'DATI INGRESSO'!$H$165)&lt;0,FIXED(ROUND('ELABORAZIONE ERRORI'!P21,'DATI INGRESSO'!$H$165),'DATI INGRESSO'!$H$165),CONCATENATE("+",FIXED(ROUND('ELABORAZIONE ERRORI'!P21,'DATI INGRESSO'!$H$165),'DATI INGRESSO'!$H$165)))),IF('ELABORAZIONE ERRORI'!K32="A-",IF('ELABORAZIONE ERRORI'!P32="-","",IF(ROUND('ELABORAZIONE ERRORI'!P32,'DATI INGRESSO'!$H$165)&lt;0,FIXED(ROUND('ELABORAZIONE ERRORI'!P32,'DATI INGRESSO'!$H$165),'DATI INGRESSO'!$H$165),CONCATENATE("+",FIXED(ROUND('ELABORAZIONE ERRORI'!P32,'DATI INGRESSO'!$H$165),'DATI INGRESSO'!$H$165)))),"")),"X")</f>
        <v>+0,27</v>
      </c>
      <c r="Q98" s="1579"/>
      <c r="R98" s="1580" t="str">
        <f>IF(AND('DATI INGRESSO'!$D$17="X",'DATI INGRESSO'!$D$20&lt;&gt;"X"),IF('ELABORAZIONE ERRORI'!C21&lt;&gt;"",IF(OR($P$90="RILEVATO",$P$90="CALCOLATO"),FIXED(ROUND('ELABORAZIONE ERRORI'!S21,'DATI INGRESSO'!$H$165),'DATI INGRESSO'!$H$165),FIXED(ROUND('ELABORAZIONE ERRORI'!Q21,'DATI INGRESSO'!$H$165),'DATI INGRESSO'!$H$165)),""),"X")</f>
        <v>1,33</v>
      </c>
      <c r="S98" s="1580"/>
      <c r="T98" s="116"/>
      <c r="U98" s="18"/>
    </row>
    <row r="99" spans="1:21" x14ac:dyDescent="0.25">
      <c r="A99" s="1">
        <v>98</v>
      </c>
      <c r="B99" s="1581">
        <v>6</v>
      </c>
      <c r="C99" s="1582"/>
      <c r="D99" s="1584" t="str">
        <f>IF(AND('DATI INGRESSO'!$D$17="X",'DATI INGRESSO'!$D$20&lt;&gt;"X"),IF(OR('DATI INGRESSO'!$H$180="X",'DATI INGRESSO'!$H$183="X"),"R-S-T",IF('DATI INGRESSO'!$H$186="X","-L-")),"X")</f>
        <v>R-S-T</v>
      </c>
      <c r="E99" s="1585"/>
      <c r="F99" s="1586" t="str">
        <f>IF(AND('DATI INGRESSO'!$D$17="X",'DATI INGRESSO'!$D$20&lt;&gt;"X"),IF('ELABORAZIONE ERRORI'!C22&lt;&gt;"",CONCATENATE(FIXED('ELABORAZIONE ERRORI'!F22*100,'DATI INGRESSO'!$H$166),"%"),""),"X")</f>
        <v>100,0%</v>
      </c>
      <c r="G99" s="1587"/>
      <c r="H99" s="1588" t="str">
        <f>IF(AND('DATI INGRESSO'!$D$17="X",'DATI INGRESSO'!$D$20&lt;&gt;"X"),IF('ELABORAZIONE ERRORI'!C22&lt;&gt;"",CONCATENATE(FIXED('ELABORAZIONE ERRORI'!G22,'DATI INGRESSO'!$H$167),"-",'ELABORAZIONE ERRORI'!H22),""),"X")</f>
        <v>0,50-L</v>
      </c>
      <c r="I99" s="1589"/>
      <c r="J99" s="1578" t="str">
        <f>IF(AND('DATI INGRESSO'!$D$17="X",'DATI INGRESSO'!$D$20&lt;&gt;"X"),IF('ELABORAZIONE ERRORI'!K22="A+",IF('ELABORAZIONE ERRORI'!L22="-","",IF(ROUND('ELABORAZIONE ERRORI'!L22,'DATI INGRESSO'!$H$165)&lt;0,FIXED(ROUND('ELABORAZIONE ERRORI'!L22,'DATI INGRESSO'!$H$165),'DATI INGRESSO'!$H$165),CONCATENATE("+",FIXED(ROUND('ELABORAZIONE ERRORI'!L22,'DATI INGRESSO'!$H$165),'DATI INGRESSO'!$H$165)))),IF('ELABORAZIONE ERRORI'!K33="A+",IF('ELABORAZIONE ERRORI'!L33="-","",IF(ROUND('ELABORAZIONE ERRORI'!L33,'DATI INGRESSO'!$H$165)&lt;0,FIXED(ROUND('ELABORAZIONE ERRORI'!L33,'DATI INGRESSO'!$H$165),'DATI INGRESSO'!$H$165),CONCATENATE("+",FIXED(ROUND('ELABORAZIONE ERRORI'!L33,'DATI INGRESSO'!$H$165),'DATI INGRESSO'!$H$165)))),"")),"X")</f>
        <v>+0,06</v>
      </c>
      <c r="K99" s="1579"/>
      <c r="L99" s="1578" t="str">
        <f>IF(AND('DATI INGRESSO'!$D$17="X",'DATI INGRESSO'!$D$20&lt;&gt;"X"),IF('ELABORAZIONE ERRORI'!K22="A-",IF('ELABORAZIONE ERRORI'!L22="-","",IF(ROUND('ELABORAZIONE ERRORI'!L22,'DATI INGRESSO'!$H$165)&lt;0,FIXED(ROUND('ELABORAZIONE ERRORI'!L22,'DATI INGRESSO'!$H$165),'DATI INGRESSO'!$H$165),CONCATENATE("+",FIXED(ROUND('ELABORAZIONE ERRORI'!L22,'DATI INGRESSO'!$H$165),'DATI INGRESSO'!$H$165)))),IF('ELABORAZIONE ERRORI'!K33="A-",IF('ELABORAZIONE ERRORI'!L33="-","",IF(ROUND('ELABORAZIONE ERRORI'!L33,'DATI INGRESSO'!$H$165)&lt;0,FIXED(ROUND('ELABORAZIONE ERRORI'!L33,'DATI INGRESSO'!$H$165),'DATI INGRESSO'!$H$165),CONCATENATE("+",FIXED(ROUND('ELABORAZIONE ERRORI'!L33,'DATI INGRESSO'!$H$165),'DATI INGRESSO'!$H$165)))),"")),"X")</f>
        <v>+0,15</v>
      </c>
      <c r="M99" s="1579"/>
      <c r="N99" s="1578" t="str">
        <f>IF(AND('DATI INGRESSO'!$D$17="X",'DATI INGRESSO'!$D$20&lt;&gt;"X"),IF('ELABORAZIONE ERRORI'!K22="A+",IF('ELABORAZIONE ERRORI'!P22="-","",IF(ROUND('ELABORAZIONE ERRORI'!P22,'DATI INGRESSO'!$H$165)&lt;0,FIXED(ROUND('ELABORAZIONE ERRORI'!P22,'DATI INGRESSO'!$H$165),'DATI INGRESSO'!$H$165),CONCATENATE("+",FIXED(ROUND('ELABORAZIONE ERRORI'!P22,'DATI INGRESSO'!$H$165),'DATI INGRESSO'!$H$165)))),IF('ELABORAZIONE ERRORI'!K33="A+",IF('ELABORAZIONE ERRORI'!P33="-","",IF(ROUND('ELABORAZIONE ERRORI'!P33,'DATI INGRESSO'!$H$165)&lt;0,FIXED(ROUND('ELABORAZIONE ERRORI'!P33,'DATI INGRESSO'!$H$165),'DATI INGRESSO'!$H$165),CONCATENATE("+",FIXED(ROUND('ELABORAZIONE ERRORI'!P33,'DATI INGRESSO'!$H$165),'DATI INGRESSO'!$H$165)))),"")),"X")</f>
        <v>+0,02</v>
      </c>
      <c r="O99" s="1579"/>
      <c r="P99" s="1578" t="str">
        <f>IF(AND('DATI INGRESSO'!$D$17="X",'DATI INGRESSO'!$D$20&lt;&gt;"X"),IF('ELABORAZIONE ERRORI'!K22="A-",IF('ELABORAZIONE ERRORI'!P22="-","",IF(ROUND('ELABORAZIONE ERRORI'!P22,'DATI INGRESSO'!$H$165)&lt;0,FIXED(ROUND('ELABORAZIONE ERRORI'!P22,'DATI INGRESSO'!$H$165),'DATI INGRESSO'!$H$165),CONCATENATE("+",FIXED(ROUND('ELABORAZIONE ERRORI'!P22,'DATI INGRESSO'!$H$165),'DATI INGRESSO'!$H$165)))),IF('ELABORAZIONE ERRORI'!K33="A-",IF('ELABORAZIONE ERRORI'!P33="-","",IF(ROUND('ELABORAZIONE ERRORI'!P33,'DATI INGRESSO'!$H$165)&lt;0,FIXED(ROUND('ELABORAZIONE ERRORI'!P33,'DATI INGRESSO'!$H$165),'DATI INGRESSO'!$H$165),CONCATENATE("+",FIXED(ROUND('ELABORAZIONE ERRORI'!P33,'DATI INGRESSO'!$H$165),'DATI INGRESSO'!$H$165)))),"")),"X")</f>
        <v>+0,11</v>
      </c>
      <c r="Q99" s="1579"/>
      <c r="R99" s="1580" t="str">
        <f>IF(AND('DATI INGRESSO'!$D$17="X",'DATI INGRESSO'!$D$20&lt;&gt;"X"),IF('ELABORAZIONE ERRORI'!C22&lt;&gt;"",IF(OR($P$90="RILEVATO",$P$90="CALCOLATO"),FIXED(ROUND('ELABORAZIONE ERRORI'!S22,'DATI INGRESSO'!$H$165),'DATI INGRESSO'!$H$165),FIXED(ROUND('ELABORAZIONE ERRORI'!Q22,'DATI INGRESSO'!$H$165),'DATI INGRESSO'!$H$165)),""),"X")</f>
        <v>2,80</v>
      </c>
      <c r="S99" s="1580"/>
      <c r="T99" s="116"/>
      <c r="U99" s="18"/>
    </row>
    <row r="100" spans="1:21" x14ac:dyDescent="0.25">
      <c r="A100" s="1">
        <v>99</v>
      </c>
      <c r="B100" s="1581">
        <v>7</v>
      </c>
      <c r="C100" s="1582"/>
      <c r="D100" s="1584" t="str">
        <f>IF(AND('DATI INGRESSO'!$D$17="X",'DATI INGRESSO'!$D$20&lt;&gt;"X"),IF(OR('DATI INGRESSO'!$H$180="X",'DATI INGRESSO'!$H$183="X"),"R-S-T",IF('DATI INGRESSO'!$H$186="X","-L-")),"X")</f>
        <v>R-S-T</v>
      </c>
      <c r="E100" s="1585"/>
      <c r="F100" s="1586" t="str">
        <f>IF(AND('DATI INGRESSO'!$D$17="X",'DATI INGRESSO'!$D$20&lt;&gt;"X"),IF('ELABORAZIONE ERRORI'!C23&lt;&gt;"",CONCATENATE(FIXED('ELABORAZIONE ERRORI'!F23*100,'DATI INGRESSO'!$H$166),"%"),""),"X")</f>
        <v>120,0%</v>
      </c>
      <c r="G100" s="1587"/>
      <c r="H100" s="1588" t="str">
        <f>IF(AND('DATI INGRESSO'!$D$17="X",'DATI INGRESSO'!$D$20&lt;&gt;"X"),IF('ELABORAZIONE ERRORI'!C23&lt;&gt;"",CONCATENATE(FIXED('ELABORAZIONE ERRORI'!G23,'DATI INGRESSO'!$H$167),"-",'ELABORAZIONE ERRORI'!H23),""),"X")</f>
        <v>1,00-L</v>
      </c>
      <c r="I100" s="1589"/>
      <c r="J100" s="1578" t="str">
        <f>IF(AND('DATI INGRESSO'!$D$17="X",'DATI INGRESSO'!$D$20&lt;&gt;"X"),IF('ELABORAZIONE ERRORI'!K23="A+",IF('ELABORAZIONE ERRORI'!L23="-","",IF(ROUND('ELABORAZIONE ERRORI'!L23,'DATI INGRESSO'!$H$165)&lt;0,FIXED(ROUND('ELABORAZIONE ERRORI'!L23,'DATI INGRESSO'!$H$165),'DATI INGRESSO'!$H$165),CONCATENATE("+",FIXED(ROUND('ELABORAZIONE ERRORI'!L23,'DATI INGRESSO'!$H$165),'DATI INGRESSO'!$H$165)))),IF('ELABORAZIONE ERRORI'!K34="A+",IF('ELABORAZIONE ERRORI'!L34="-","",IF(ROUND('ELABORAZIONE ERRORI'!L34,'DATI INGRESSO'!$H$165)&lt;0,FIXED(ROUND('ELABORAZIONE ERRORI'!L34,'DATI INGRESSO'!$H$165),'DATI INGRESSO'!$H$165),CONCATENATE("+",FIXED(ROUND('ELABORAZIONE ERRORI'!L34,'DATI INGRESSO'!$H$165),'DATI INGRESSO'!$H$165)))),"")),"X")</f>
        <v>+0,07</v>
      </c>
      <c r="K100" s="1579"/>
      <c r="L100" s="1578" t="str">
        <f>IF(AND('DATI INGRESSO'!$D$17="X",'DATI INGRESSO'!$D$20&lt;&gt;"X"),IF('ELABORAZIONE ERRORI'!K23="A-",IF('ELABORAZIONE ERRORI'!L23="-","",IF(ROUND('ELABORAZIONE ERRORI'!L23,'DATI INGRESSO'!$H$165)&lt;0,FIXED(ROUND('ELABORAZIONE ERRORI'!L23,'DATI INGRESSO'!$H$165),'DATI INGRESSO'!$H$165),CONCATENATE("+",FIXED(ROUND('ELABORAZIONE ERRORI'!L23,'DATI INGRESSO'!$H$165),'DATI INGRESSO'!$H$165)))),IF('ELABORAZIONE ERRORI'!K34="A-",IF('ELABORAZIONE ERRORI'!L34="-","",IF(ROUND('ELABORAZIONE ERRORI'!L34,'DATI INGRESSO'!$H$165)&lt;0,FIXED(ROUND('ELABORAZIONE ERRORI'!L34,'DATI INGRESSO'!$H$165),'DATI INGRESSO'!$H$165),CONCATENATE("+",FIXED(ROUND('ELABORAZIONE ERRORI'!L34,'DATI INGRESSO'!$H$165),'DATI INGRESSO'!$H$165)))),"")),"X")</f>
        <v>+0,16</v>
      </c>
      <c r="M100" s="1579"/>
      <c r="N100" s="1578" t="str">
        <f>IF(AND('DATI INGRESSO'!$D$17="X",'DATI INGRESSO'!$D$20&lt;&gt;"X"),IF('ELABORAZIONE ERRORI'!K23="A+",IF('ELABORAZIONE ERRORI'!P23="-","",IF(ROUND('ELABORAZIONE ERRORI'!P23,'DATI INGRESSO'!$H$165)&lt;0,FIXED(ROUND('ELABORAZIONE ERRORI'!P23,'DATI INGRESSO'!$H$165),'DATI INGRESSO'!$H$165),CONCATENATE("+",FIXED(ROUND('ELABORAZIONE ERRORI'!P23,'DATI INGRESSO'!$H$165),'DATI INGRESSO'!$H$165)))),IF('ELABORAZIONE ERRORI'!K34="A+",IF('ELABORAZIONE ERRORI'!P34="-","",IF(ROUND('ELABORAZIONE ERRORI'!P34,'DATI INGRESSO'!$H$165)&lt;0,FIXED(ROUND('ELABORAZIONE ERRORI'!P34,'DATI INGRESSO'!$H$165),'DATI INGRESSO'!$H$165),CONCATENATE("+",FIXED(ROUND('ELABORAZIONE ERRORI'!P34,'DATI INGRESSO'!$H$165),'DATI INGRESSO'!$H$165)))),"")),"X")</f>
        <v>+0,18</v>
      </c>
      <c r="O100" s="1579"/>
      <c r="P100" s="1578" t="str">
        <f>IF(AND('DATI INGRESSO'!$D$17="X",'DATI INGRESSO'!$D$20&lt;&gt;"X"),IF('ELABORAZIONE ERRORI'!K23="A-",IF('ELABORAZIONE ERRORI'!P23="-","",IF(ROUND('ELABORAZIONE ERRORI'!P23,'DATI INGRESSO'!$H$165)&lt;0,FIXED(ROUND('ELABORAZIONE ERRORI'!P23,'DATI INGRESSO'!$H$165),'DATI INGRESSO'!$H$165),CONCATENATE("+",FIXED(ROUND('ELABORAZIONE ERRORI'!P23,'DATI INGRESSO'!$H$165),'DATI INGRESSO'!$H$165)))),IF('ELABORAZIONE ERRORI'!K34="A-",IF('ELABORAZIONE ERRORI'!P34="-","",IF(ROUND('ELABORAZIONE ERRORI'!P34,'DATI INGRESSO'!$H$165)&lt;0,FIXED(ROUND('ELABORAZIONE ERRORI'!P34,'DATI INGRESSO'!$H$165),'DATI INGRESSO'!$H$165),CONCATENATE("+",FIXED(ROUND('ELABORAZIONE ERRORI'!P34,'DATI INGRESSO'!$H$165),'DATI INGRESSO'!$H$165)))),"")),"X")</f>
        <v>+0,27</v>
      </c>
      <c r="Q100" s="1579"/>
      <c r="R100" s="1580" t="str">
        <f>IF(AND('DATI INGRESSO'!$D$17="X",'DATI INGRESSO'!$D$20&lt;&gt;"X"),IF('ELABORAZIONE ERRORI'!C23&lt;&gt;"",IF(OR($P$90="RILEVATO",$P$90="CALCOLATO"),FIXED(ROUND('ELABORAZIONE ERRORI'!S23,'DATI INGRESSO'!$H$165),'DATI INGRESSO'!$H$165),FIXED(ROUND('ELABORAZIONE ERRORI'!Q23,'DATI INGRESSO'!$H$165),'DATI INGRESSO'!$H$165)),""),"X")</f>
        <v>1,33</v>
      </c>
      <c r="S100" s="1580"/>
      <c r="T100" s="117"/>
      <c r="U100" s="118"/>
    </row>
    <row r="101" spans="1:21" x14ac:dyDescent="0.25">
      <c r="A101" s="1">
        <v>100</v>
      </c>
      <c r="B101" s="1581">
        <v>8</v>
      </c>
      <c r="C101" s="1582"/>
      <c r="D101" s="1584" t="str">
        <f>IF(AND('DATI INGRESSO'!$D$17="X",'DATI INGRESSO'!$D$20&lt;&gt;"X"),IF(OR('DATI INGRESSO'!$H$180="X",'DATI INGRESSO'!$H$183="X"),"R-S-T",IF('DATI INGRESSO'!$H$186="X","-L-")),"X")</f>
        <v>R-S-T</v>
      </c>
      <c r="E101" s="1585"/>
      <c r="F101" s="1586" t="str">
        <f>IF(AND('DATI INGRESSO'!$D$17="X",'DATI INGRESSO'!$D$20&lt;&gt;"X"),IF('ELABORAZIONE ERRORI'!C24&lt;&gt;"",CONCATENATE(FIXED('ELABORAZIONE ERRORI'!F24*100,'DATI INGRESSO'!$H$166),"%"),""),"X")</f>
        <v>120,0%</v>
      </c>
      <c r="G101" s="1587"/>
      <c r="H101" s="1588" t="str">
        <f>IF(AND('DATI INGRESSO'!$D$17="X",'DATI INGRESSO'!$D$20&lt;&gt;"X"),IF('ELABORAZIONE ERRORI'!C24&lt;&gt;"",CONCATENATE(FIXED('ELABORAZIONE ERRORI'!G24,'DATI INGRESSO'!$H$167),"-",'ELABORAZIONE ERRORI'!H24),""),"X")</f>
        <v>0,50-L</v>
      </c>
      <c r="I101" s="1589"/>
      <c r="J101" s="1578" t="str">
        <f>IF(AND('DATI INGRESSO'!$D$17="X",'DATI INGRESSO'!$D$20&lt;&gt;"X"),IF('ELABORAZIONE ERRORI'!K24="A+",IF('ELABORAZIONE ERRORI'!L24="-","",IF(ROUND('ELABORAZIONE ERRORI'!L24,'DATI INGRESSO'!$H$165)&lt;0,FIXED(ROUND('ELABORAZIONE ERRORI'!L24,'DATI INGRESSO'!$H$165),'DATI INGRESSO'!$H$165),CONCATENATE("+",FIXED(ROUND('ELABORAZIONE ERRORI'!L24,'DATI INGRESSO'!$H$165),'DATI INGRESSO'!$H$165)))),IF('ELABORAZIONE ERRORI'!K35="A+",IF('ELABORAZIONE ERRORI'!L35="-","",IF(ROUND('ELABORAZIONE ERRORI'!L35,'DATI INGRESSO'!$H$165)&lt;0,FIXED(ROUND('ELABORAZIONE ERRORI'!L35,'DATI INGRESSO'!$H$165),'DATI INGRESSO'!$H$165),CONCATENATE("+",FIXED(ROUND('ELABORAZIONE ERRORI'!L35,'DATI INGRESSO'!$H$165),'DATI INGRESSO'!$H$165)))),"")),"X")</f>
        <v>+0,08</v>
      </c>
      <c r="K101" s="1579"/>
      <c r="L101" s="1578" t="str">
        <f>IF(AND('DATI INGRESSO'!$D$17="X",'DATI INGRESSO'!$D$20&lt;&gt;"X"),IF('ELABORAZIONE ERRORI'!K24="A-",IF('ELABORAZIONE ERRORI'!L24="-","",IF(ROUND('ELABORAZIONE ERRORI'!L24,'DATI INGRESSO'!$H$165)&lt;0,FIXED(ROUND('ELABORAZIONE ERRORI'!L24,'DATI INGRESSO'!$H$165),'DATI INGRESSO'!$H$165),CONCATENATE("+",FIXED(ROUND('ELABORAZIONE ERRORI'!L24,'DATI INGRESSO'!$H$165),'DATI INGRESSO'!$H$165)))),IF('ELABORAZIONE ERRORI'!K35="A-",IF('ELABORAZIONE ERRORI'!L35="-","",IF(ROUND('ELABORAZIONE ERRORI'!L35,'DATI INGRESSO'!$H$165)&lt;0,FIXED(ROUND('ELABORAZIONE ERRORI'!L35,'DATI INGRESSO'!$H$165),'DATI INGRESSO'!$H$165),CONCATENATE("+",FIXED(ROUND('ELABORAZIONE ERRORI'!L35,'DATI INGRESSO'!$H$165),'DATI INGRESSO'!$H$165)))),"")),"X")</f>
        <v>+0,17</v>
      </c>
      <c r="M101" s="1579"/>
      <c r="N101" s="1578" t="str">
        <f>IF(AND('DATI INGRESSO'!$D$17="X",'DATI INGRESSO'!$D$20&lt;&gt;"X"),IF('ELABORAZIONE ERRORI'!K24="A+",IF('ELABORAZIONE ERRORI'!P24="-","",IF(ROUND('ELABORAZIONE ERRORI'!P24,'DATI INGRESSO'!$H$165)&lt;0,FIXED(ROUND('ELABORAZIONE ERRORI'!P24,'DATI INGRESSO'!$H$165),'DATI INGRESSO'!$H$165),CONCATENATE("+",FIXED(ROUND('ELABORAZIONE ERRORI'!P24,'DATI INGRESSO'!$H$165),'DATI INGRESSO'!$H$165)))),IF('ELABORAZIONE ERRORI'!K35="A+",IF('ELABORAZIONE ERRORI'!P35="-","",IF(ROUND('ELABORAZIONE ERRORI'!P35,'DATI INGRESSO'!$H$165)&lt;0,FIXED(ROUND('ELABORAZIONE ERRORI'!P35,'DATI INGRESSO'!$H$165),'DATI INGRESSO'!$H$165),CONCATENATE("+",FIXED(ROUND('ELABORAZIONE ERRORI'!P35,'DATI INGRESSO'!$H$165),'DATI INGRESSO'!$H$165)))),"")),"X")</f>
        <v>+0,03</v>
      </c>
      <c r="O101" s="1579"/>
      <c r="P101" s="1578" t="str">
        <f>IF(AND('DATI INGRESSO'!$D$17="X",'DATI INGRESSO'!$D$20&lt;&gt;"X"),IF('ELABORAZIONE ERRORI'!K24="A-",IF('ELABORAZIONE ERRORI'!P24="-","",IF(ROUND('ELABORAZIONE ERRORI'!P24,'DATI INGRESSO'!$H$165)&lt;0,FIXED(ROUND('ELABORAZIONE ERRORI'!P24,'DATI INGRESSO'!$H$165),'DATI INGRESSO'!$H$165),CONCATENATE("+",FIXED(ROUND('ELABORAZIONE ERRORI'!P24,'DATI INGRESSO'!$H$165),'DATI INGRESSO'!$H$165)))),IF('ELABORAZIONE ERRORI'!K35="A-",IF('ELABORAZIONE ERRORI'!P35="-","",IF(ROUND('ELABORAZIONE ERRORI'!P35,'DATI INGRESSO'!$H$165)&lt;0,FIXED(ROUND('ELABORAZIONE ERRORI'!P35,'DATI INGRESSO'!$H$165),'DATI INGRESSO'!$H$165),CONCATENATE("+",FIXED(ROUND('ELABORAZIONE ERRORI'!P35,'DATI INGRESSO'!$H$165),'DATI INGRESSO'!$H$165)))),"")),"X")</f>
        <v>+0,12</v>
      </c>
      <c r="Q101" s="1579"/>
      <c r="R101" s="1580" t="str">
        <f>IF(AND('DATI INGRESSO'!$D$17="X",'DATI INGRESSO'!$D$20&lt;&gt;"X"),IF('ELABORAZIONE ERRORI'!C24&lt;&gt;"",IF(OR($P$90="RILEVATO",$P$90="CALCOLATO"),FIXED(ROUND('ELABORAZIONE ERRORI'!S24,'DATI INGRESSO'!$H$165),'DATI INGRESSO'!$H$165),FIXED(ROUND('ELABORAZIONE ERRORI'!Q24,'DATI INGRESSO'!$H$165),'DATI INGRESSO'!$H$165)),""),"X")</f>
        <v>2,80</v>
      </c>
      <c r="S101" s="1580"/>
      <c r="T101" s="1740" t="s">
        <v>464</v>
      </c>
      <c r="U101" s="1729"/>
    </row>
    <row r="102" spans="1:21" x14ac:dyDescent="0.25">
      <c r="A102" s="1">
        <v>101</v>
      </c>
      <c r="B102" s="1581">
        <v>9</v>
      </c>
      <c r="C102" s="1582"/>
      <c r="D102" s="1584" t="str">
        <f>IF(AND('DATI INGRESSO'!$D$17="X",'DATI INGRESSO'!$D$20&lt;&gt;"X"),IF(OR('DATI INGRESSO'!$H$180="X",'DATI INGRESSO'!$H$183="X"),"-R-",IF('DATI INGRESSO'!$H$186="X","-")),"X")</f>
        <v>-R-</v>
      </c>
      <c r="E102" s="1585"/>
      <c r="F102" s="1586" t="str">
        <f>IF(AND('DATI INGRESSO'!$D$17="X",'DATI INGRESSO'!$D$20&lt;&gt;"X"),IF('ELABORAZIONE ERRORI'!C25&lt;&gt;"",CONCATENATE(FIXED('ELABORAZIONE ERRORI'!F25*100,'DATI INGRESSO'!$H$166),"%"),""),"X")</f>
        <v>100,0%</v>
      </c>
      <c r="G102" s="1587"/>
      <c r="H102" s="1588" t="str">
        <f>IF(AND('DATI INGRESSO'!$D$17="X",'DATI INGRESSO'!$D$20&lt;&gt;"X"),IF('ELABORAZIONE ERRORI'!C25&lt;&gt;"",CONCATENATE(FIXED('ELABORAZIONE ERRORI'!G25,'DATI INGRESSO'!$H$167),"-",'ELABORAZIONE ERRORI'!H25),""),"X")</f>
        <v>1,00-L</v>
      </c>
      <c r="I102" s="1589"/>
      <c r="J102" s="1578" t="str">
        <f>IF(AND('DATI INGRESSO'!$D$17="X",'DATI INGRESSO'!$D$20&lt;&gt;"X"),IF('ELABORAZIONE ERRORI'!K25="A+",IF('ELABORAZIONE ERRORI'!L25="-","",IF(ROUND('ELABORAZIONE ERRORI'!L25,'DATI INGRESSO'!$H$165)&lt;0,FIXED(ROUND('ELABORAZIONE ERRORI'!L25,'DATI INGRESSO'!$H$165),'DATI INGRESSO'!$H$165),CONCATENATE("+",FIXED(ROUND('ELABORAZIONE ERRORI'!L25,'DATI INGRESSO'!$H$165),'DATI INGRESSO'!$H$165)))),IF('ELABORAZIONE ERRORI'!K36="A+",IF('ELABORAZIONE ERRORI'!L36="-","",IF(ROUND('ELABORAZIONE ERRORI'!L36,'DATI INGRESSO'!$H$165)&lt;0,FIXED(ROUND('ELABORAZIONE ERRORI'!L36,'DATI INGRESSO'!$H$165),'DATI INGRESSO'!$H$165),CONCATENATE("+",FIXED(ROUND('ELABORAZIONE ERRORI'!L36,'DATI INGRESSO'!$H$165),'DATI INGRESSO'!$H$165)))),"")),"X")</f>
        <v>+0,09</v>
      </c>
      <c r="K102" s="1579"/>
      <c r="L102" s="1578" t="str">
        <f>IF(AND('DATI INGRESSO'!$D$17="X",'DATI INGRESSO'!$D$20&lt;&gt;"X"),IF('ELABORAZIONE ERRORI'!K25="A-",IF('ELABORAZIONE ERRORI'!L25="-","",IF(ROUND('ELABORAZIONE ERRORI'!L25,'DATI INGRESSO'!$H$165)&lt;0,FIXED(ROUND('ELABORAZIONE ERRORI'!L25,'DATI INGRESSO'!$H$165),'DATI INGRESSO'!$H$165),CONCATENATE("+",FIXED(ROUND('ELABORAZIONE ERRORI'!L25,'DATI INGRESSO'!$H$165),'DATI INGRESSO'!$H$165)))),IF('ELABORAZIONE ERRORI'!K36="A-",IF('ELABORAZIONE ERRORI'!L36="-","",IF(ROUND('ELABORAZIONE ERRORI'!L36,'DATI INGRESSO'!$H$165)&lt;0,FIXED(ROUND('ELABORAZIONE ERRORI'!L36,'DATI INGRESSO'!$H$165),'DATI INGRESSO'!$H$165),CONCATENATE("+",FIXED(ROUND('ELABORAZIONE ERRORI'!L36,'DATI INGRESSO'!$H$165),'DATI INGRESSO'!$H$165)))),"")),"X")</f>
        <v>+0,18</v>
      </c>
      <c r="M102" s="1579"/>
      <c r="N102" s="1578" t="str">
        <f>IF(AND('DATI INGRESSO'!$D$17="X",'DATI INGRESSO'!$D$20&lt;&gt;"X"),IF('ELABORAZIONE ERRORI'!K25="A+",IF('ELABORAZIONE ERRORI'!P25="-","",IF(ROUND('ELABORAZIONE ERRORI'!P25,'DATI INGRESSO'!$H$165)&lt;0,FIXED(ROUND('ELABORAZIONE ERRORI'!P25,'DATI INGRESSO'!$H$165),'DATI INGRESSO'!$H$165),CONCATENATE("+",FIXED(ROUND('ELABORAZIONE ERRORI'!P25,'DATI INGRESSO'!$H$165),'DATI INGRESSO'!$H$165)))),IF('ELABORAZIONE ERRORI'!K36="A+",IF('ELABORAZIONE ERRORI'!P36="-","",IF(ROUND('ELABORAZIONE ERRORI'!P36,'DATI INGRESSO'!$H$165)&lt;0,FIXED(ROUND('ELABORAZIONE ERRORI'!P36,'DATI INGRESSO'!$H$165),'DATI INGRESSO'!$H$165),CONCATENATE("+",FIXED(ROUND('ELABORAZIONE ERRORI'!P36,'DATI INGRESSO'!$H$165),'DATI INGRESSO'!$H$165)))),"")),"X")</f>
        <v>+0,22</v>
      </c>
      <c r="O102" s="1579"/>
      <c r="P102" s="1578" t="str">
        <f>IF(AND('DATI INGRESSO'!$D$17="X",'DATI INGRESSO'!$D$20&lt;&gt;"X"),IF('ELABORAZIONE ERRORI'!K25="A-",IF('ELABORAZIONE ERRORI'!P25="-","",IF(ROUND('ELABORAZIONE ERRORI'!P25,'DATI INGRESSO'!$H$165)&lt;0,FIXED(ROUND('ELABORAZIONE ERRORI'!P25,'DATI INGRESSO'!$H$165),'DATI INGRESSO'!$H$165),CONCATENATE("+",FIXED(ROUND('ELABORAZIONE ERRORI'!P25,'DATI INGRESSO'!$H$165),'DATI INGRESSO'!$H$165)))),IF('ELABORAZIONE ERRORI'!K36="A-",IF('ELABORAZIONE ERRORI'!P36="-","",IF(ROUND('ELABORAZIONE ERRORI'!P36,'DATI INGRESSO'!$H$165)&lt;0,FIXED(ROUND('ELABORAZIONE ERRORI'!P36,'DATI INGRESSO'!$H$165),'DATI INGRESSO'!$H$165),CONCATENATE("+",FIXED(ROUND('ELABORAZIONE ERRORI'!P36,'DATI INGRESSO'!$H$165),'DATI INGRESSO'!$H$165)))),"")),"X")</f>
        <v>+0,31</v>
      </c>
      <c r="Q102" s="1579"/>
      <c r="R102" s="1580" t="str">
        <f>IF(AND('DATI INGRESSO'!$D$17="X",'DATI INGRESSO'!$D$20&lt;&gt;"X"),IF('ELABORAZIONE ERRORI'!C25&lt;&gt;"",IF(OR($P$90="RILEVATO",$P$90="CALCOLATO"),FIXED(ROUND('ELABORAZIONE ERRORI'!S25,'DATI INGRESSO'!$H$165),'DATI INGRESSO'!$H$165),FIXED(ROUND('ELABORAZIONE ERRORI'!Q25,'DATI INGRESSO'!$H$165),'DATI INGRESSO'!$H$165)),""),"X")</f>
        <v>1,70</v>
      </c>
      <c r="S102" s="1580"/>
      <c r="T102" s="1741"/>
      <c r="U102" s="1724"/>
    </row>
    <row r="103" spans="1:21" x14ac:dyDescent="0.25">
      <c r="B103" s="1581">
        <v>10</v>
      </c>
      <c r="C103" s="1582"/>
      <c r="D103" s="1584" t="str">
        <f>IF(AND('DATI INGRESSO'!$D$17="X",'DATI INGRESSO'!$D$20&lt;&gt;"X"),IF(OR('DATI INGRESSO'!$H$180="X",'DATI INGRESSO'!$H$183="X"),"-S-",IF('DATI INGRESSO'!$H$186="X","-")),"X")</f>
        <v>-S-</v>
      </c>
      <c r="E103" s="1585"/>
      <c r="F103" s="1586" t="str">
        <f>IF(AND('DATI INGRESSO'!$D$17="X",'DATI INGRESSO'!$D$20&lt;&gt;"X"),IF('ELABORAZIONE ERRORI'!C26&lt;&gt;"",CONCATENATE(FIXED('ELABORAZIONE ERRORI'!F26*100,'DATI INGRESSO'!$H$166),"%"),""),"X")</f>
        <v/>
      </c>
      <c r="G103" s="1587"/>
      <c r="H103" s="1588" t="str">
        <f>IF(AND('DATI INGRESSO'!$D$17="X",'DATI INGRESSO'!$D$20&lt;&gt;"X"),IF('ELABORAZIONE ERRORI'!C26&lt;&gt;"",CONCATENATE(FIXED('ELABORAZIONE ERRORI'!G26,'DATI INGRESSO'!$H$167),"-",'ELABORAZIONE ERRORI'!H26),""),"X")</f>
        <v/>
      </c>
      <c r="I103" s="1589"/>
      <c r="J103" s="1578" t="str">
        <f>IF(AND('DATI INGRESSO'!$D$17="X",'DATI INGRESSO'!$D$20&lt;&gt;"X"),IF('ELABORAZIONE ERRORI'!K26="A+",IF('ELABORAZIONE ERRORI'!L26="-","",IF(ROUND('ELABORAZIONE ERRORI'!L26,'DATI INGRESSO'!$H$165)&lt;0,FIXED(ROUND('ELABORAZIONE ERRORI'!L26,'DATI INGRESSO'!$H$165),'DATI INGRESSO'!$H$165),CONCATENATE("+",FIXED(ROUND('ELABORAZIONE ERRORI'!L26,'DATI INGRESSO'!$H$165),'DATI INGRESSO'!$H$165)))),IF('ELABORAZIONE ERRORI'!K37="A+",IF('ELABORAZIONE ERRORI'!L37="-","",IF(ROUND('ELABORAZIONE ERRORI'!L37,'DATI INGRESSO'!$H$165)&lt;0,FIXED(ROUND('ELABORAZIONE ERRORI'!L37,'DATI INGRESSO'!$H$165),'DATI INGRESSO'!$H$165),CONCATENATE("+",FIXED(ROUND('ELABORAZIONE ERRORI'!L37,'DATI INGRESSO'!$H$165),'DATI INGRESSO'!$H$165)))),"")),"X")</f>
        <v/>
      </c>
      <c r="K103" s="1579"/>
      <c r="L103" s="1578" t="str">
        <f>IF(AND('DATI INGRESSO'!$D$17="X",'DATI INGRESSO'!$D$20&lt;&gt;"X"),IF('ELABORAZIONE ERRORI'!K26="A-",IF('ELABORAZIONE ERRORI'!L26="-","",IF(ROUND('ELABORAZIONE ERRORI'!L26,'DATI INGRESSO'!$H$165)&lt;0,FIXED(ROUND('ELABORAZIONE ERRORI'!L26,'DATI INGRESSO'!$H$165),'DATI INGRESSO'!$H$165),CONCATENATE("+",FIXED(ROUND('ELABORAZIONE ERRORI'!L26,'DATI INGRESSO'!$H$165),'DATI INGRESSO'!$H$165)))),IF('ELABORAZIONE ERRORI'!K37="A-",IF('ELABORAZIONE ERRORI'!L37="-","",IF(ROUND('ELABORAZIONE ERRORI'!L37,'DATI INGRESSO'!$H$165)&lt;0,FIXED(ROUND('ELABORAZIONE ERRORI'!L37,'DATI INGRESSO'!$H$165),'DATI INGRESSO'!$H$165),CONCATENATE("+",FIXED(ROUND('ELABORAZIONE ERRORI'!L37,'DATI INGRESSO'!$H$165),'DATI INGRESSO'!$H$165)))),"")),"X")</f>
        <v/>
      </c>
      <c r="M103" s="1579"/>
      <c r="N103" s="1578" t="str">
        <f>IF(AND('DATI INGRESSO'!$D$17="X",'DATI INGRESSO'!$D$20&lt;&gt;"X"),IF('ELABORAZIONE ERRORI'!K26="A+",IF('ELABORAZIONE ERRORI'!P26="-","",IF(ROUND('ELABORAZIONE ERRORI'!P26,'DATI INGRESSO'!$H$165)&lt;0,FIXED(ROUND('ELABORAZIONE ERRORI'!P26,'DATI INGRESSO'!$H$165),'DATI INGRESSO'!$H$165),CONCATENATE("+",FIXED(ROUND('ELABORAZIONE ERRORI'!P26,'DATI INGRESSO'!$H$165),'DATI INGRESSO'!$H$165)))),IF('ELABORAZIONE ERRORI'!K37="A+",IF('ELABORAZIONE ERRORI'!P37="-","",IF(ROUND('ELABORAZIONE ERRORI'!P37,'DATI INGRESSO'!$H$165)&lt;0,FIXED(ROUND('ELABORAZIONE ERRORI'!P37,'DATI INGRESSO'!$H$165),'DATI INGRESSO'!$H$165),CONCATENATE("+",FIXED(ROUND('ELABORAZIONE ERRORI'!P37,'DATI INGRESSO'!$H$165),'DATI INGRESSO'!$H$165)))),"")),"X")</f>
        <v/>
      </c>
      <c r="O103" s="1579"/>
      <c r="P103" s="1578" t="str">
        <f>IF(AND('DATI INGRESSO'!$D$17="X",'DATI INGRESSO'!$D$20&lt;&gt;"X"),IF('ELABORAZIONE ERRORI'!K26="A-",IF('ELABORAZIONE ERRORI'!P26="-","",IF(ROUND('ELABORAZIONE ERRORI'!P26,'DATI INGRESSO'!$H$165)&lt;0,FIXED(ROUND('ELABORAZIONE ERRORI'!P26,'DATI INGRESSO'!$H$165),'DATI INGRESSO'!$H$165),CONCATENATE("+",FIXED(ROUND('ELABORAZIONE ERRORI'!P26,'DATI INGRESSO'!$H$165),'DATI INGRESSO'!$H$165)))),IF('ELABORAZIONE ERRORI'!K37="A-",IF('ELABORAZIONE ERRORI'!P37="-","",IF(ROUND('ELABORAZIONE ERRORI'!P37,'DATI INGRESSO'!$H$165)&lt;0,FIXED(ROUND('ELABORAZIONE ERRORI'!P37,'DATI INGRESSO'!$H$165),'DATI INGRESSO'!$H$165),CONCATENATE("+",FIXED(ROUND('ELABORAZIONE ERRORI'!P37,'DATI INGRESSO'!$H$165),'DATI INGRESSO'!$H$165)))),"")),"X")</f>
        <v/>
      </c>
      <c r="Q103" s="1579"/>
      <c r="R103" s="1580" t="str">
        <f>IF(AND('DATI INGRESSO'!$D$17="X",'DATI INGRESSO'!$D$20&lt;&gt;"X"),IF('ELABORAZIONE ERRORI'!C26&lt;&gt;"",IF(OR($P$90="RILEVATO",$P$90="CALCOLATO"),FIXED(ROUND('ELABORAZIONE ERRORI'!S26,'DATI INGRESSO'!$H$165),'DATI INGRESSO'!$H$165),FIXED(ROUND('ELABORAZIONE ERRORI'!Q26,'DATI INGRESSO'!$H$165),'DATI INGRESSO'!$H$165)),""),"X")</f>
        <v/>
      </c>
      <c r="S103" s="1580"/>
      <c r="T103" s="1569">
        <f>IF(AND('DATI INGRESSO'!$D$17="X",'DATI INGRESSO'!$D$20&lt;&gt;"X"),IF('DATI INGRESSO'!K138&lt;&gt;"",'DATI INGRESSO'!K138,"-"),"X")</f>
        <v>44041</v>
      </c>
      <c r="U103" s="1570"/>
    </row>
    <row r="104" spans="1:21" ht="15.75" thickBot="1" x14ac:dyDescent="0.3">
      <c r="B104" s="1592">
        <v>11</v>
      </c>
      <c r="C104" s="1593"/>
      <c r="D104" s="1594" t="str">
        <f>IF(AND('DATI INGRESSO'!$D$17="X",'DATI INGRESSO'!$D$20&lt;&gt;"X"),IF(OR('DATI INGRESSO'!$H$180="X",'DATI INGRESSO'!$H$183="X"),"-T-",IF('DATI INGRESSO'!$H$186="X","-")),"X")</f>
        <v>-T-</v>
      </c>
      <c r="E104" s="1595"/>
      <c r="F104" s="1596" t="str">
        <f>IF(AND('DATI INGRESSO'!$D$17="X",'DATI INGRESSO'!$D$20&lt;&gt;"X"),IF('ELABORAZIONE ERRORI'!C27&lt;&gt;"",CONCATENATE(FIXED('ELABORAZIONE ERRORI'!F27*100,'DATI INGRESSO'!$H$166),"%"),""),"X")</f>
        <v/>
      </c>
      <c r="G104" s="1597"/>
      <c r="H104" s="1598" t="str">
        <f>IF(AND('DATI INGRESSO'!$D$17="X",'DATI INGRESSO'!$D$20&lt;&gt;"X"),IF('ELABORAZIONE ERRORI'!C27&lt;&gt;"",CONCATENATE(FIXED('ELABORAZIONE ERRORI'!G27,'DATI INGRESSO'!$H$167),"-",'ELABORAZIONE ERRORI'!H27),""),"X")</f>
        <v/>
      </c>
      <c r="I104" s="1599"/>
      <c r="J104" s="1576" t="str">
        <f>IF(AND('DATI INGRESSO'!$D$17="X",'DATI INGRESSO'!$D$20&lt;&gt;"X"),IF('ELABORAZIONE ERRORI'!K27="A+",IF('ELABORAZIONE ERRORI'!L27="-","",IF(ROUND('ELABORAZIONE ERRORI'!L27,'DATI INGRESSO'!$H$165)&lt;0,FIXED(ROUND('ELABORAZIONE ERRORI'!L27,'DATI INGRESSO'!$H$165),'DATI INGRESSO'!$H$165),CONCATENATE("+",FIXED(ROUND('ELABORAZIONE ERRORI'!L27,'DATI INGRESSO'!$H$165),'DATI INGRESSO'!$H$165)))),IF('ELABORAZIONE ERRORI'!K38="A+",IF('ELABORAZIONE ERRORI'!L38="-","",IF(ROUND('ELABORAZIONE ERRORI'!L38,'DATI INGRESSO'!$H$165)&lt;0,FIXED(ROUND('ELABORAZIONE ERRORI'!L38,'DATI INGRESSO'!$H$165),'DATI INGRESSO'!$H$165),CONCATENATE("+",FIXED(ROUND('ELABORAZIONE ERRORI'!L38,'DATI INGRESSO'!$H$165),'DATI INGRESSO'!$H$165)))),"")),"X")</f>
        <v/>
      </c>
      <c r="K104" s="1577"/>
      <c r="L104" s="1576" t="str">
        <f>IF(AND('DATI INGRESSO'!$D$17="X",'DATI INGRESSO'!$D$20&lt;&gt;"X"),IF('ELABORAZIONE ERRORI'!K27="A-",IF('ELABORAZIONE ERRORI'!L27="-","",IF(ROUND('ELABORAZIONE ERRORI'!L27,'DATI INGRESSO'!$H$165)&lt;0,FIXED(ROUND('ELABORAZIONE ERRORI'!L27,'DATI INGRESSO'!$H$165),'DATI INGRESSO'!$H$165),CONCATENATE("+",FIXED(ROUND('ELABORAZIONE ERRORI'!L27,'DATI INGRESSO'!$H$165),'DATI INGRESSO'!$H$165)))),IF('ELABORAZIONE ERRORI'!K38="A-",IF('ELABORAZIONE ERRORI'!L38="-","",IF(ROUND('ELABORAZIONE ERRORI'!L38,'DATI INGRESSO'!$H$165)&lt;0,FIXED(ROUND('ELABORAZIONE ERRORI'!L38,'DATI INGRESSO'!$H$165),'DATI INGRESSO'!$H$165),CONCATENATE("+",FIXED(ROUND('ELABORAZIONE ERRORI'!L38,'DATI INGRESSO'!$H$165),'DATI INGRESSO'!$H$165)))),"")),"X")</f>
        <v/>
      </c>
      <c r="M104" s="1577"/>
      <c r="N104" s="1576" t="str">
        <f>IF(AND('DATI INGRESSO'!$D$17="X",'DATI INGRESSO'!$D$20&lt;&gt;"X"),IF('ELABORAZIONE ERRORI'!K27="A+",IF('ELABORAZIONE ERRORI'!P27="-","",IF(ROUND('ELABORAZIONE ERRORI'!P27,'DATI INGRESSO'!$H$165)&lt;0,FIXED(ROUND('ELABORAZIONE ERRORI'!P27,'DATI INGRESSO'!$H$165),'DATI INGRESSO'!$H$165),CONCATENATE("+",FIXED(ROUND('ELABORAZIONE ERRORI'!P27,'DATI INGRESSO'!$H$165),'DATI INGRESSO'!$H$165)))),IF('ELABORAZIONE ERRORI'!K38="A+",IF('ELABORAZIONE ERRORI'!P38="-","",IF(ROUND('ELABORAZIONE ERRORI'!P38,'DATI INGRESSO'!$H$165)&lt;0,FIXED(ROUND('ELABORAZIONE ERRORI'!P38,'DATI INGRESSO'!$H$165),'DATI INGRESSO'!$H$165),CONCATENATE("+",FIXED(ROUND('ELABORAZIONE ERRORI'!P38,'DATI INGRESSO'!$H$165),'DATI INGRESSO'!$H$165)))),"")),"X")</f>
        <v/>
      </c>
      <c r="O104" s="1577"/>
      <c r="P104" s="1576" t="str">
        <f>IF(AND('DATI INGRESSO'!$D$17="X",'DATI INGRESSO'!$D$20&lt;&gt;"X"),IF('ELABORAZIONE ERRORI'!K27="A-",IF('ELABORAZIONE ERRORI'!P27="-","",IF(ROUND('ELABORAZIONE ERRORI'!P27,'DATI INGRESSO'!$H$165)&lt;0,FIXED(ROUND('ELABORAZIONE ERRORI'!P27,'DATI INGRESSO'!$H$165),'DATI INGRESSO'!$H$165),CONCATENATE("+",FIXED(ROUND('ELABORAZIONE ERRORI'!P27,'DATI INGRESSO'!$H$165),'DATI INGRESSO'!$H$165)))),IF('ELABORAZIONE ERRORI'!K38="A-",IF('ELABORAZIONE ERRORI'!P38="-","",IF(ROUND('ELABORAZIONE ERRORI'!P38,'DATI INGRESSO'!$H$165)&lt;0,FIXED(ROUND('ELABORAZIONE ERRORI'!P38,'DATI INGRESSO'!$H$165),'DATI INGRESSO'!$H$165),CONCATENATE("+",FIXED(ROUND('ELABORAZIONE ERRORI'!P38,'DATI INGRESSO'!$H$165),'DATI INGRESSO'!$H$165)))),"")),"X")</f>
        <v/>
      </c>
      <c r="Q104" s="1577"/>
      <c r="R104" s="1583" t="str">
        <f>IF(AND('DATI INGRESSO'!$D$17="X",'DATI INGRESSO'!$D$20&lt;&gt;"X"),IF('ELABORAZIONE ERRORI'!C27&lt;&gt;"",IF(OR($P$90="RILEVATO",$P$90="CALCOLATO"),FIXED(ROUND('ELABORAZIONE ERRORI'!S27,'DATI INGRESSO'!$H$165),'DATI INGRESSO'!$H$165),FIXED(ROUND('ELABORAZIONE ERRORI'!Q27,'DATI INGRESSO'!$H$165),'DATI INGRESSO'!$H$165)),""),"X")</f>
        <v/>
      </c>
      <c r="S104" s="1583"/>
      <c r="T104" s="1573">
        <f>IF(AND('DATI INGRESSO'!$D$17="X",'DATI INGRESSO'!$D$20&lt;&gt;"X"),IF('DATI INGRESSO'!L138&lt;&gt;"",'DATI INGRESSO'!L138,"-"),"X")</f>
        <v>0.4375</v>
      </c>
      <c r="U104" s="1574"/>
    </row>
    <row r="105" spans="1:21" ht="6.75" customHeight="1" x14ac:dyDescent="0.25">
      <c r="A105" s="1">
        <v>102</v>
      </c>
    </row>
    <row r="106" spans="1:21" ht="12.95" customHeight="1" x14ac:dyDescent="0.25">
      <c r="A106" s="1">
        <v>103</v>
      </c>
      <c r="B106" s="1600" t="s">
        <v>474</v>
      </c>
      <c r="C106" s="1600"/>
      <c r="D106" s="1600"/>
      <c r="E106" s="1600"/>
      <c r="F106" s="1600"/>
      <c r="G106" s="1600"/>
      <c r="H106" s="1600"/>
    </row>
    <row r="107" spans="1:21" ht="6.75" customHeight="1" thickBot="1" x14ac:dyDescent="0.3">
      <c r="A107" s="1">
        <v>104</v>
      </c>
    </row>
    <row r="108" spans="1:21" ht="27.95" customHeight="1" x14ac:dyDescent="0.25">
      <c r="A108" s="1">
        <v>105</v>
      </c>
      <c r="B108" s="119" t="s">
        <v>393</v>
      </c>
      <c r="C108" s="1575" t="s">
        <v>475</v>
      </c>
      <c r="D108" s="1575"/>
      <c r="E108" s="1575"/>
      <c r="F108" s="1575"/>
      <c r="G108" s="1765" t="s">
        <v>476</v>
      </c>
      <c r="H108" s="1766"/>
      <c r="I108" s="1762" t="s">
        <v>477</v>
      </c>
      <c r="J108" s="1763"/>
      <c r="K108" s="1763"/>
      <c r="L108" s="1763"/>
      <c r="M108" s="1763"/>
      <c r="N108" s="1763"/>
      <c r="O108" s="1763"/>
      <c r="P108" s="1763"/>
      <c r="Q108" s="1763"/>
      <c r="R108" s="1763"/>
      <c r="S108" s="1763"/>
      <c r="T108" s="1763"/>
      <c r="U108" s="1764"/>
    </row>
    <row r="109" spans="1:21" ht="23.1" customHeight="1" x14ac:dyDescent="0.25">
      <c r="A109" s="1">
        <v>106</v>
      </c>
      <c r="B109" s="120" t="str">
        <f>IF(AND('DATI INGRESSO'!$D$17="X",'DATI INGRESSO'!$D$20&lt;&gt;"X"),IF('DATI INGRESSO'!A204&lt;&gt;"",'DATI INGRESSO'!A204,"-"),"X")</f>
        <v>1</v>
      </c>
      <c r="C109" s="1591" t="str">
        <f>IF(AND('DATI INGRESSO'!$D$17="X",'DATI INGRESSO'!$D$20&lt;&gt;"X"),IF('DATI INGRESSO'!B204&lt;&gt;"",'DATI INGRESSO'!B204,"-"),"X")</f>
        <v>ENERGHIA BS1</v>
      </c>
      <c r="D109" s="1591"/>
      <c r="E109" s="1591"/>
      <c r="F109" s="1591"/>
      <c r="G109" s="1590" t="str">
        <f>IF(AND('DATI INGRESSO'!$D$17="X",'DATI INGRESSO'!$D$20&lt;&gt;"X"),IF('DATI INGRESSO'!D204&lt;&gt;"",'DATI INGRESSO'!D204,"-"),"X")</f>
        <v>Applicato</v>
      </c>
      <c r="H109" s="1590"/>
      <c r="I109" s="1744" t="str">
        <f>IF(AND('DATI INGRESSO'!$D$17="X",'DATI INGRESSO'!$D$20&lt;&gt;"X"),IF('DATI INGRESSO'!E204&lt;&gt;"",'DATI INGRESSO'!E204,"-"),"X")</f>
        <v>CALOTTA CONTATOREEEEEEEEEEEEEEEEEEEEEEEEEEEEEEEEEEEEEEEEEEEEEEEEWSCDRFRGTGRTHRTHTRHRETH</v>
      </c>
      <c r="J109" s="1745"/>
      <c r="K109" s="1745"/>
      <c r="L109" s="1745"/>
      <c r="M109" s="1745"/>
      <c r="N109" s="1745"/>
      <c r="O109" s="1745"/>
      <c r="P109" s="1745"/>
      <c r="Q109" s="1745"/>
      <c r="R109" s="1745"/>
      <c r="S109" s="1745"/>
      <c r="T109" s="1745"/>
      <c r="U109" s="1746"/>
    </row>
    <row r="110" spans="1:21" ht="23.1" customHeight="1" x14ac:dyDescent="0.25">
      <c r="A110" s="1">
        <v>107</v>
      </c>
      <c r="B110" s="120" t="str">
        <f>IF(AND('DATI INGRESSO'!$D$17="X",'DATI INGRESSO'!$D$20&lt;&gt;"X"),IF('DATI INGRESSO'!A208&lt;&gt;"",'DATI INGRESSO'!A208,"-"),"X")</f>
        <v>2</v>
      </c>
      <c r="C110" s="1591" t="str">
        <f>IF(AND('DATI INGRESSO'!$D$17="X",'DATI INGRESSO'!$D$20&lt;&gt;"X"),IF('DATI INGRESSO'!B208&lt;&gt;"",'DATI INGRESSO'!B208,"-"),"X")</f>
        <v>ENERGHIA BS2</v>
      </c>
      <c r="D110" s="1591"/>
      <c r="E110" s="1591"/>
      <c r="F110" s="1591"/>
      <c r="G110" s="1590" t="str">
        <f>IF(AND('DATI INGRESSO'!$D$17="X",'DATI INGRESSO'!$D$20&lt;&gt;"X"),IF('DATI INGRESSO'!D208&lt;&gt;"",'DATI INGRESSO'!D208,"-"),"X")</f>
        <v>Rimosso</v>
      </c>
      <c r="H110" s="1590"/>
      <c r="I110" s="1744" t="str">
        <f>IF(AND('DATI INGRESSO'!$D$17="X",'DATI INGRESSO'!$D$20&lt;&gt;"X"),IF('DATI INGRESSO'!E208&lt;&gt;"",'DATI INGRESSO'!E208,"-"),"X")</f>
        <v>VANO BATTERIA CONTATORE</v>
      </c>
      <c r="J110" s="1745"/>
      <c r="K110" s="1745"/>
      <c r="L110" s="1745"/>
      <c r="M110" s="1745"/>
      <c r="N110" s="1745"/>
      <c r="O110" s="1745"/>
      <c r="P110" s="1745"/>
      <c r="Q110" s="1745"/>
      <c r="R110" s="1745"/>
      <c r="S110" s="1745"/>
      <c r="T110" s="1745"/>
      <c r="U110" s="1746"/>
    </row>
    <row r="111" spans="1:21" ht="23.1" customHeight="1" x14ac:dyDescent="0.25">
      <c r="A111" s="1">
        <v>108</v>
      </c>
      <c r="B111" s="120" t="str">
        <f>IF(AND('DATI INGRESSO'!$D$17="X",'DATI INGRESSO'!$D$20&lt;&gt;"X"),IF('DATI INGRESSO'!A212&lt;&gt;"",'DATI INGRESSO'!A212,"-"),"X")</f>
        <v>3</v>
      </c>
      <c r="C111" s="1591" t="str">
        <f>IF(AND('DATI INGRESSO'!$D$17="X",'DATI INGRESSO'!$D$20&lt;&gt;"X"),IF('DATI INGRESSO'!B212&lt;&gt;"",'DATI INGRESSO'!B212,"-"),"X")</f>
        <v>ENERGHIA BS3</v>
      </c>
      <c r="D111" s="1591"/>
      <c r="E111" s="1591"/>
      <c r="F111" s="1591"/>
      <c r="G111" s="1590" t="str">
        <f>IF(AND('DATI INGRESSO'!$D$17="X",'DATI INGRESSO'!$D$20&lt;&gt;"X"),IF('DATI INGRESSO'!D212&lt;&gt;"",'DATI INGRESSO'!D212,"-"),"X")</f>
        <v>Presente</v>
      </c>
      <c r="H111" s="1590"/>
      <c r="I111" s="1744" t="str">
        <f>IF(AND('DATI INGRESSO'!$D$17="X",'DATI INGRESSO'!$D$20&lt;&gt;"X"),IF('DATI INGRESSO'!E212&lt;&gt;"",'DATI INGRESSO'!E212,"-"),"X")</f>
        <v>GRUPPO OTTICO CONTATORE</v>
      </c>
      <c r="J111" s="1745"/>
      <c r="K111" s="1745"/>
      <c r="L111" s="1745"/>
      <c r="M111" s="1745"/>
      <c r="N111" s="1745"/>
      <c r="O111" s="1745"/>
      <c r="P111" s="1745"/>
      <c r="Q111" s="1745"/>
      <c r="R111" s="1745"/>
      <c r="S111" s="1745"/>
      <c r="T111" s="1745"/>
      <c r="U111" s="1746"/>
    </row>
    <row r="112" spans="1:21" ht="23.1" customHeight="1" x14ac:dyDescent="0.25">
      <c r="A112" s="1">
        <v>109</v>
      </c>
      <c r="B112" s="120" t="str">
        <f>IF(AND('DATI INGRESSO'!$D$17="X",'DATI INGRESSO'!$D$20&lt;&gt;"X"),IF('DATI INGRESSO'!A216&lt;&gt;"",'DATI INGRESSO'!A216,"-"),"X")</f>
        <v>4</v>
      </c>
      <c r="C112" s="1591" t="str">
        <f>IF(AND('DATI INGRESSO'!$D$17="X",'DATI INGRESSO'!$D$20&lt;&gt;"X"),IF('DATI INGRESSO'!B216&lt;&gt;"",'DATI INGRESSO'!B216,"-"),"X")</f>
        <v>ENERGHIA BS4</v>
      </c>
      <c r="D112" s="1591"/>
      <c r="E112" s="1591"/>
      <c r="F112" s="1591"/>
      <c r="G112" s="1590" t="str">
        <f>IF(AND('DATI INGRESSO'!$D$17="X",'DATI INGRESSO'!$D$20&lt;&gt;"X"),IF('DATI INGRESSO'!D216&lt;&gt;"",'DATI INGRESSO'!D216,"-"),"X")</f>
        <v>Applicato</v>
      </c>
      <c r="H112" s="1590"/>
      <c r="I112" s="1744" t="str">
        <f>IF(AND('DATI INGRESSO'!$D$17="X",'DATI INGRESSO'!$D$20&lt;&gt;"X"),IF('DATI INGRESSO'!E216&lt;&gt;"",'DATI INGRESSO'!E216,"-"),"X")</f>
        <v>SPORTELLO CONTATORE ACCESSO TASTO PROGRAMMAZIONE</v>
      </c>
      <c r="J112" s="1745"/>
      <c r="K112" s="1745"/>
      <c r="L112" s="1745"/>
      <c r="M112" s="1745"/>
      <c r="N112" s="1745"/>
      <c r="O112" s="1745"/>
      <c r="P112" s="1745"/>
      <c r="Q112" s="1745"/>
      <c r="R112" s="1745"/>
      <c r="S112" s="1745"/>
      <c r="T112" s="1745"/>
      <c r="U112" s="1746"/>
    </row>
    <row r="113" spans="1:21" ht="23.1" customHeight="1" x14ac:dyDescent="0.25">
      <c r="A113" s="1">
        <v>110</v>
      </c>
      <c r="B113" s="120" t="str">
        <f>IF(AND('DATI INGRESSO'!$D$17="X",'DATI INGRESSO'!$D$20&lt;&gt;"X"),IF('DATI INGRESSO'!A220&lt;&gt;"",'DATI INGRESSO'!A220,"-"),"X")</f>
        <v>5</v>
      </c>
      <c r="C113" s="1591" t="str">
        <f>IF(AND('DATI INGRESSO'!$D$17="X",'DATI INGRESSO'!$D$20&lt;&gt;"X"),IF('DATI INGRESSO'!B220&lt;&gt;"",'DATI INGRESSO'!B220,"-"),"X")</f>
        <v>ENERGHIA BS5</v>
      </c>
      <c r="D113" s="1591"/>
      <c r="E113" s="1591"/>
      <c r="F113" s="1591"/>
      <c r="G113" s="1590" t="str">
        <f>IF(AND('DATI INGRESSO'!$D$17="X",'DATI INGRESSO'!$D$20&lt;&gt;"X"),IF('DATI INGRESSO'!D220&lt;&gt;"",'DATI INGRESSO'!D220,"-"),"X")</f>
        <v>Rimosso</v>
      </c>
      <c r="H113" s="1590"/>
      <c r="I113" s="1744" t="str">
        <f>IF(AND('DATI INGRESSO'!$D$17="X",'DATI INGRESSO'!$D$20&lt;&gt;"X"),IF('DATI INGRESSO'!E220&lt;&gt;"",'DATI INGRESSO'!E220,"-"),"X")</f>
        <v>COPRIMORSETTI CONTATORE</v>
      </c>
      <c r="J113" s="1745"/>
      <c r="K113" s="1745"/>
      <c r="L113" s="1745"/>
      <c r="M113" s="1745"/>
      <c r="N113" s="1745"/>
      <c r="O113" s="1745"/>
      <c r="P113" s="1745"/>
      <c r="Q113" s="1745"/>
      <c r="R113" s="1745"/>
      <c r="S113" s="1745"/>
      <c r="T113" s="1745"/>
      <c r="U113" s="1746"/>
    </row>
    <row r="114" spans="1:21" ht="23.1" customHeight="1" x14ac:dyDescent="0.25">
      <c r="A114" s="1">
        <v>111</v>
      </c>
      <c r="B114" s="120" t="str">
        <f>IF(AND('DATI INGRESSO'!$D$17="X",'DATI INGRESSO'!$D$20&lt;&gt;"X"),IF('DATI INGRESSO'!A224&lt;&gt;"",'DATI INGRESSO'!A224,"-"),"X")</f>
        <v>6</v>
      </c>
      <c r="C114" s="1591" t="str">
        <f>IF(AND('DATI INGRESSO'!$D$17="X",'DATI INGRESSO'!$D$20&lt;&gt;"X"),IF('DATI INGRESSO'!B224&lt;&gt;"",'DATI INGRESSO'!B224,"-"),"X")</f>
        <v>ENERGHIA BS6</v>
      </c>
      <c r="D114" s="1591"/>
      <c r="E114" s="1591"/>
      <c r="F114" s="1591"/>
      <c r="G114" s="1590" t="str">
        <f>IF(AND('DATI INGRESSO'!$D$17="X",'DATI INGRESSO'!$D$20&lt;&gt;"X"),IF('DATI INGRESSO'!D224&lt;&gt;"",'DATI INGRESSO'!D224,"-"),"X")</f>
        <v>Presente</v>
      </c>
      <c r="H114" s="1590"/>
      <c r="I114" s="1744" t="str">
        <f>IF(AND('DATI INGRESSO'!$D$17="X",'DATI INGRESSO'!$D$20&lt;&gt;"X"),IF('DATI INGRESSO'!E224&lt;&gt;"",'DATI INGRESSO'!E224,"-"),"X")</f>
        <v>MORSETTIERA DI PROVA</v>
      </c>
      <c r="J114" s="1745"/>
      <c r="K114" s="1745"/>
      <c r="L114" s="1745"/>
      <c r="M114" s="1745"/>
      <c r="N114" s="1745"/>
      <c r="O114" s="1745"/>
      <c r="P114" s="1745"/>
      <c r="Q114" s="1745"/>
      <c r="R114" s="1745"/>
      <c r="S114" s="1745"/>
      <c r="T114" s="1745"/>
      <c r="U114" s="1746"/>
    </row>
    <row r="115" spans="1:21" ht="23.1" customHeight="1" x14ac:dyDescent="0.25">
      <c r="A115" s="1">
        <v>112</v>
      </c>
      <c r="B115" s="120" t="str">
        <f>IF(AND('DATI INGRESSO'!$D$17="X",'DATI INGRESSO'!$D$20&lt;&gt;"X"),IF('DATI INGRESSO'!A228&lt;&gt;"",'DATI INGRESSO'!A228,"-"),"X")</f>
        <v>7</v>
      </c>
      <c r="C115" s="1591" t="str">
        <f>IF(AND('DATI INGRESSO'!$D$17="X",'DATI INGRESSO'!$D$20&lt;&gt;"X"),IF('DATI INGRESSO'!B228&lt;&gt;"",'DATI INGRESSO'!B228,"-"),"X")</f>
        <v>ENERGHIA BS7</v>
      </c>
      <c r="D115" s="1591"/>
      <c r="E115" s="1591"/>
      <c r="F115" s="1591"/>
      <c r="G115" s="1590" t="str">
        <f>IF(AND('DATI INGRESSO'!$D$17="X",'DATI INGRESSO'!$D$20&lt;&gt;"X"),IF('DATI INGRESSO'!D228&lt;&gt;"",'DATI INGRESSO'!D228,"-"),"X")</f>
        <v>Applicato</v>
      </c>
      <c r="H115" s="1590"/>
      <c r="I115" s="1744" t="str">
        <f>IF(AND('DATI INGRESSO'!$D$17="X",'DATI INGRESSO'!$D$20&lt;&gt;"X"),IF('DATI INGRESSO'!E228&lt;&gt;"",'DATI INGRESSO'!E228,"-"),"X")</f>
        <v>COPRIMORSETTI TA-FASE R</v>
      </c>
      <c r="J115" s="1745"/>
      <c r="K115" s="1745"/>
      <c r="L115" s="1745"/>
      <c r="M115" s="1745"/>
      <c r="N115" s="1745"/>
      <c r="O115" s="1745"/>
      <c r="P115" s="1745"/>
      <c r="Q115" s="1745"/>
      <c r="R115" s="1745"/>
      <c r="S115" s="1745"/>
      <c r="T115" s="1745"/>
      <c r="U115" s="1746"/>
    </row>
    <row r="116" spans="1:21" ht="23.1" customHeight="1" x14ac:dyDescent="0.25">
      <c r="A116" s="1">
        <v>113</v>
      </c>
      <c r="B116" s="120" t="str">
        <f>IF(AND('DATI INGRESSO'!$D$17="X",'DATI INGRESSO'!$D$20&lt;&gt;"X"),IF('DATI INGRESSO'!A232&lt;&gt;"",'DATI INGRESSO'!A232,"-"),"X")</f>
        <v>8</v>
      </c>
      <c r="C116" s="1591" t="str">
        <f>IF(AND('DATI INGRESSO'!$D$17="X",'DATI INGRESSO'!$D$20&lt;&gt;"X"),IF('DATI INGRESSO'!B232&lt;&gt;"",'DATI INGRESSO'!B232,"-"),"X")</f>
        <v>ENERGHIA BS8</v>
      </c>
      <c r="D116" s="1591"/>
      <c r="E116" s="1591"/>
      <c r="F116" s="1591"/>
      <c r="G116" s="1590" t="str">
        <f>IF(AND('DATI INGRESSO'!$D$17="X",'DATI INGRESSO'!$D$20&lt;&gt;"X"),IF('DATI INGRESSO'!D232&lt;&gt;"",'DATI INGRESSO'!D232,"-"),"X")</f>
        <v>Rimosso</v>
      </c>
      <c r="H116" s="1590"/>
      <c r="I116" s="1744" t="str">
        <f>IF(AND('DATI INGRESSO'!$D$17="X",'DATI INGRESSO'!$D$20&lt;&gt;"X"),IF('DATI INGRESSO'!E232&lt;&gt;"",'DATI INGRESSO'!E232,"-"),"X")</f>
        <v>COPRIMORSETTI TA-FASE S</v>
      </c>
      <c r="J116" s="1745"/>
      <c r="K116" s="1745"/>
      <c r="L116" s="1745"/>
      <c r="M116" s="1745"/>
      <c r="N116" s="1745"/>
      <c r="O116" s="1745"/>
      <c r="P116" s="1745"/>
      <c r="Q116" s="1745"/>
      <c r="R116" s="1745"/>
      <c r="S116" s="1745"/>
      <c r="T116" s="1745"/>
      <c r="U116" s="1746"/>
    </row>
    <row r="117" spans="1:21" ht="23.1" customHeight="1" x14ac:dyDescent="0.25">
      <c r="A117" s="1">
        <v>114</v>
      </c>
      <c r="B117" s="120" t="str">
        <f>IF(AND('DATI INGRESSO'!$D$17="X",'DATI INGRESSO'!$D$20&lt;&gt;"X"),IF('DATI INGRESSO'!A236&lt;&gt;"",'DATI INGRESSO'!A236,"-"),"X")</f>
        <v>9</v>
      </c>
      <c r="C117" s="1591" t="str">
        <f>IF(AND('DATI INGRESSO'!$D$17="X",'DATI INGRESSO'!$D$20&lt;&gt;"X"),IF('DATI INGRESSO'!B236&lt;&gt;"",'DATI INGRESSO'!B236,"-"),"X")</f>
        <v>ENERGHIA BS9</v>
      </c>
      <c r="D117" s="1591"/>
      <c r="E117" s="1591"/>
      <c r="F117" s="1591"/>
      <c r="G117" s="1590" t="str">
        <f>IF(AND('DATI INGRESSO'!$D$17="X",'DATI INGRESSO'!$D$20&lt;&gt;"X"),IF('DATI INGRESSO'!D236&lt;&gt;"",'DATI INGRESSO'!D236,"-"),"X")</f>
        <v>Presente</v>
      </c>
      <c r="H117" s="1590"/>
      <c r="I117" s="1744" t="str">
        <f>IF(AND('DATI INGRESSO'!$D$17="X",'DATI INGRESSO'!$D$20&lt;&gt;"X"),IF('DATI INGRESSO'!E236&lt;&gt;"",'DATI INGRESSO'!E236,"-"),"X")</f>
        <v>COPRIMORSETTI TA-FASE T</v>
      </c>
      <c r="J117" s="1745"/>
      <c r="K117" s="1745"/>
      <c r="L117" s="1745"/>
      <c r="M117" s="1745"/>
      <c r="N117" s="1745"/>
      <c r="O117" s="1745"/>
      <c r="P117" s="1745"/>
      <c r="Q117" s="1745"/>
      <c r="R117" s="1745"/>
      <c r="S117" s="1745"/>
      <c r="T117" s="1745"/>
      <c r="U117" s="1746"/>
    </row>
    <row r="118" spans="1:21" ht="23.1" customHeight="1" thickBot="1" x14ac:dyDescent="0.3">
      <c r="A118" s="1">
        <v>115</v>
      </c>
      <c r="B118" s="121" t="str">
        <f>IF(AND('DATI INGRESSO'!$D$17="X",'DATI INGRESSO'!$D$20&lt;&gt;"X"),IF('DATI INGRESSO'!A240&lt;&gt;"",'DATI INGRESSO'!A240,"-"),"X")</f>
        <v>10</v>
      </c>
      <c r="C118" s="1591" t="str">
        <f>IF(AND('DATI INGRESSO'!$D$17="X",'DATI INGRESSO'!$D$20&lt;&gt;"X"),IF('DATI INGRESSO'!B240&lt;&gt;"",'DATI INGRESSO'!B240,"-"),"X")</f>
        <v>ENERGHIA BS10</v>
      </c>
      <c r="D118" s="1591"/>
      <c r="E118" s="1591"/>
      <c r="F118" s="1591"/>
      <c r="G118" s="1761" t="str">
        <f>IF(AND('DATI INGRESSO'!$D$17="X",'DATI INGRESSO'!$D$20&lt;&gt;"X"),IF('DATI INGRESSO'!D240&lt;&gt;"",'DATI INGRESSO'!D240,"-"),"X")</f>
        <v>Applicato</v>
      </c>
      <c r="H118" s="1761"/>
      <c r="I118" s="1747" t="str">
        <f>IF(AND('DATI INGRESSO'!$D$17="X",'DATI INGRESSO'!$D$20&lt;&gt;"X"),IF('DATI INGRESSO'!E240&lt;&gt;"",'DATI INGRESSO'!E240,"-"),"X")</f>
        <v>PLEXIGLASS ACCESSO A TA, TV E PRESE VOLTMETRICHE</v>
      </c>
      <c r="J118" s="1748"/>
      <c r="K118" s="1748"/>
      <c r="L118" s="1748"/>
      <c r="M118" s="1748"/>
      <c r="N118" s="1748"/>
      <c r="O118" s="1748"/>
      <c r="P118" s="1748"/>
      <c r="Q118" s="1748"/>
      <c r="R118" s="1748"/>
      <c r="S118" s="1748"/>
      <c r="T118" s="1748"/>
      <c r="U118" s="1749"/>
    </row>
    <row r="119" spans="1:21" ht="7.5" customHeight="1" thickBot="1" x14ac:dyDescent="0.3">
      <c r="A119" s="1">
        <v>116</v>
      </c>
    </row>
    <row r="120" spans="1:21" ht="12.95" customHeight="1" thickBot="1" x14ac:dyDescent="0.3">
      <c r="A120" s="1">
        <v>117</v>
      </c>
      <c r="B120" s="1618" t="s">
        <v>478</v>
      </c>
      <c r="C120" s="1619"/>
      <c r="D120" s="1619"/>
      <c r="E120" s="1620"/>
      <c r="F120" s="1621">
        <f>IF(AND('DATI INGRESSO'!$D$17="X",'DATI INGRESSO'!$D$20&lt;&gt;"X"),'DATI INGRESSO'!H13,"X")</f>
        <v>0.4513888888888889</v>
      </c>
      <c r="G120" s="1622"/>
    </row>
    <row r="121" spans="1:21" ht="7.5" customHeight="1" thickBot="1" x14ac:dyDescent="0.3">
      <c r="A121" s="1">
        <v>118</v>
      </c>
    </row>
    <row r="122" spans="1:21" ht="22.9" customHeight="1" x14ac:dyDescent="0.25">
      <c r="A122" s="1">
        <v>119</v>
      </c>
      <c r="B122" s="1750" t="s">
        <v>433</v>
      </c>
      <c r="C122" s="1751"/>
      <c r="D122" s="1755" t="str">
        <f>IF(AND('DATI INGRESSO'!$D$17="X",'DATI INGRESSO'!$D$20&lt;&gt;"X"),IF('DATI INGRESSO'!A265&lt;&gt;"",'DATI INGRESSO'!A265,"-"),"X")</f>
        <v>AAAAAAAAAAAAAAAAAAAAAAAAAAAAABBBBBBBBBBBBBBBBBBBBBBBBBBBBBBBBBBBBBCCCCCCCCCCCCCCCCCCCCCCCCCCCCCCCCCCCCCCCDDDDDDDDDDDDDDDDDDDDDDDDDDDDDDDDDDDDEEEEEEEEEEEEEEEEEEEEEEEEEEEEEEEEEFFFFFFFFFFFFFFFFFFFFFFFGGGGGGGGGGGGGGGGGGGGGGGGGGGGGGGGGGGHHHHHHHHHHHHHHHHHHHHHHHHHHHHHHHHHHHHHIIIIIIIIIIIIIIIIIIIIIIIIIIIIIIIIIIIIILLLLLLLLLLLLLLLLLLLLLLLMMMMMMMMMMMMMMMNNNNNNNNNNNNNNNNNNNNNNOOOOOOOOOOOOOOOOPPPPPPPPPPPPPPPPQQQQQQQQQQQQQRRRRRRRRRRRRRRRSSSSSSSSSSSSSTTTTTTTTTTTTTTUUUUUUUUUUUUUVVVVVVVVVVVVVVVVV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XXXXXXXXXXXXXXXXXXXXXXXXXWWWWWWWWWWWWWWWWWWWWWWWWWYYYYYYYYYYYYYYYYYYYYYYYYYYYYYYYYYYYYYYYYYYYYYYYYYYYYYYYYYYYYY</v>
      </c>
      <c r="E122" s="1755"/>
      <c r="F122" s="1755"/>
      <c r="G122" s="1755"/>
      <c r="H122" s="1755"/>
      <c r="I122" s="1755"/>
      <c r="J122" s="1755"/>
      <c r="K122" s="1755"/>
      <c r="L122" s="1755"/>
      <c r="M122" s="1755"/>
      <c r="N122" s="1755"/>
      <c r="O122" s="1755"/>
      <c r="P122" s="1755"/>
      <c r="Q122" s="1755"/>
      <c r="R122" s="1755"/>
      <c r="S122" s="1755"/>
      <c r="T122" s="1755"/>
      <c r="U122" s="1756"/>
    </row>
    <row r="123" spans="1:21" ht="22.9" customHeight="1" x14ac:dyDescent="0.25">
      <c r="A123" s="1">
        <v>120</v>
      </c>
      <c r="B123" s="1752"/>
      <c r="C123" s="1478"/>
      <c r="D123" s="1757" t="str">
        <f>IF(AND('DATI INGRESSO'!$D$17="X",'DATI INGRESSO'!$D$20&lt;&gt;"X"),IF('DATI INGRESSO'!A266&lt;&gt;"",'DATI INGRESSO'!A266,"-"),"X")</f>
        <v>-</v>
      </c>
      <c r="E123" s="1757"/>
      <c r="F123" s="1757"/>
      <c r="G123" s="1757"/>
      <c r="H123" s="1757"/>
      <c r="I123" s="1757"/>
      <c r="J123" s="1757"/>
      <c r="K123" s="1757"/>
      <c r="L123" s="1757"/>
      <c r="M123" s="1757"/>
      <c r="N123" s="1757"/>
      <c r="O123" s="1757"/>
      <c r="P123" s="1757"/>
      <c r="Q123" s="1757"/>
      <c r="R123" s="1757"/>
      <c r="S123" s="1757"/>
      <c r="T123" s="1757"/>
      <c r="U123" s="1758"/>
    </row>
    <row r="124" spans="1:21" ht="22.9" customHeight="1" x14ac:dyDescent="0.25">
      <c r="A124" s="1">
        <v>121</v>
      </c>
      <c r="B124" s="1752"/>
      <c r="C124" s="1478"/>
      <c r="D124" s="1757" t="str">
        <f>IF(AND('DATI INGRESSO'!$D$17="X",'DATI INGRESSO'!$D$20&lt;&gt;"X"),IF('DATI INGRESSO'!A267&lt;&gt;"",'DATI INGRESSO'!A267,"-"),"X")</f>
        <v>-</v>
      </c>
      <c r="E124" s="1757"/>
      <c r="F124" s="1757"/>
      <c r="G124" s="1757"/>
      <c r="H124" s="1757"/>
      <c r="I124" s="1757"/>
      <c r="J124" s="1757"/>
      <c r="K124" s="1757"/>
      <c r="L124" s="1757"/>
      <c r="M124" s="1757"/>
      <c r="N124" s="1757"/>
      <c r="O124" s="1757"/>
      <c r="P124" s="1757"/>
      <c r="Q124" s="1757"/>
      <c r="R124" s="1757"/>
      <c r="S124" s="1757"/>
      <c r="T124" s="1757"/>
      <c r="U124" s="1758"/>
    </row>
    <row r="125" spans="1:21" ht="22.9" customHeight="1" x14ac:dyDescent="0.25">
      <c r="A125" s="1">
        <v>122</v>
      </c>
      <c r="B125" s="1752"/>
      <c r="C125" s="1478"/>
      <c r="D125" s="1757" t="str">
        <f>IF(AND('DATI INGRESSO'!$D$17="X",'DATI INGRESSO'!$D$20&lt;&gt;"X"),IF('DATI INGRESSO'!A268&lt;&gt;"",'DATI INGRESSO'!A268,"-"),"X")</f>
        <v>-</v>
      </c>
      <c r="E125" s="1757"/>
      <c r="F125" s="1757"/>
      <c r="G125" s="1757"/>
      <c r="H125" s="1757"/>
      <c r="I125" s="1757"/>
      <c r="J125" s="1757"/>
      <c r="K125" s="1757"/>
      <c r="L125" s="1757"/>
      <c r="M125" s="1757"/>
      <c r="N125" s="1757"/>
      <c r="O125" s="1757"/>
      <c r="P125" s="1757"/>
      <c r="Q125" s="1757"/>
      <c r="R125" s="1757"/>
      <c r="S125" s="1757"/>
      <c r="T125" s="1757"/>
      <c r="U125" s="1758"/>
    </row>
    <row r="126" spans="1:21" ht="22.9" customHeight="1" x14ac:dyDescent="0.25">
      <c r="A126" s="1">
        <v>123</v>
      </c>
      <c r="B126" s="1752"/>
      <c r="C126" s="1478"/>
      <c r="D126" s="1757" t="str">
        <f>IF(AND('DATI INGRESSO'!$D$17="X",'DATI INGRESSO'!$D$20&lt;&gt;"X"),IF('DATI INGRESSO'!A269&lt;&gt;"",'DATI INGRESSO'!A269,"-"),"X")</f>
        <v>-</v>
      </c>
      <c r="E126" s="1757"/>
      <c r="F126" s="1757"/>
      <c r="G126" s="1757"/>
      <c r="H126" s="1757"/>
      <c r="I126" s="1757"/>
      <c r="J126" s="1757"/>
      <c r="K126" s="1757"/>
      <c r="L126" s="1757"/>
      <c r="M126" s="1757"/>
      <c r="N126" s="1757"/>
      <c r="O126" s="1757"/>
      <c r="P126" s="1757"/>
      <c r="Q126" s="1757"/>
      <c r="R126" s="1757"/>
      <c r="S126" s="1757"/>
      <c r="T126" s="1757"/>
      <c r="U126" s="1758"/>
    </row>
    <row r="127" spans="1:21" ht="24.6" customHeight="1" thickBot="1" x14ac:dyDescent="0.3">
      <c r="A127" s="1">
        <v>124</v>
      </c>
      <c r="B127" s="1753"/>
      <c r="C127" s="1754"/>
      <c r="D127" s="1759" t="str">
        <f>IF(AND('DATI INGRESSO'!$D$17="X",'DATI INGRESSO'!$D$20&lt;&gt;"X"),IF('DATI INGRESSO'!A270&lt;&gt;"",'DATI INGRESSO'!A270,"-"),"X")</f>
        <v>I controlli e le prove effettuati sull'impianto sono stati condotti in conformità alle indicazioni di cui all'Allegato 2 della circolare della Agenzia delle Dogane e dei Monopoli  n. 23/D del 29 dicembre 2015 (Prot. 145251 R.U./DCAFC 6°)</v>
      </c>
      <c r="E127" s="1759"/>
      <c r="F127" s="1759"/>
      <c r="G127" s="1759"/>
      <c r="H127" s="1759"/>
      <c r="I127" s="1759"/>
      <c r="J127" s="1759"/>
      <c r="K127" s="1759"/>
      <c r="L127" s="1759"/>
      <c r="M127" s="1759"/>
      <c r="N127" s="1759"/>
      <c r="O127" s="1759"/>
      <c r="P127" s="1759"/>
      <c r="Q127" s="1759"/>
      <c r="R127" s="1759"/>
      <c r="S127" s="1759"/>
      <c r="T127" s="1759"/>
      <c r="U127" s="1760"/>
    </row>
    <row r="128" spans="1:21" ht="6.75" customHeight="1" x14ac:dyDescent="0.25">
      <c r="A128" s="1">
        <v>125</v>
      </c>
    </row>
    <row r="129" spans="1:21" ht="12.95" customHeight="1" x14ac:dyDescent="0.25">
      <c r="A129" s="1">
        <v>126</v>
      </c>
      <c r="B129" s="1742" t="s">
        <v>479</v>
      </c>
      <c r="C129" s="1742"/>
      <c r="D129" s="1742"/>
      <c r="E129" s="1742"/>
      <c r="F129" s="1742"/>
      <c r="G129" s="122"/>
      <c r="H129" s="122"/>
      <c r="Q129" s="1742" t="s">
        <v>480</v>
      </c>
      <c r="R129" s="1742"/>
      <c r="S129" s="1742"/>
      <c r="T129" s="1742"/>
      <c r="U129" s="1742"/>
    </row>
    <row r="130" spans="1:21" ht="12.95" customHeight="1" x14ac:dyDescent="0.25">
      <c r="A130" s="1">
        <v>127</v>
      </c>
      <c r="B130" s="1743" t="str">
        <f>IF(AND('DATI INGRESSO'!$D$17="X",'DATI INGRESSO'!$D$20&lt;&gt;"X"),'DATI INGRESSO'!H20,"X")</f>
        <v>Pozzi Cristiano</v>
      </c>
      <c r="C130" s="1743"/>
      <c r="D130" s="1743"/>
      <c r="E130" s="1743"/>
      <c r="F130" s="1743"/>
      <c r="G130" s="30"/>
      <c r="H130" s="30"/>
      <c r="I130" s="30"/>
      <c r="O130" s="30"/>
      <c r="P130" s="30"/>
      <c r="Q130" s="1743" t="str">
        <f>IF(AND('DATI INGRESSO'!$D$17="X",'DATI INGRESSO'!$D$20&lt;&gt;"X"),'DATI INGRESSO'!H22,"X")</f>
        <v>Medaglia Mauro</v>
      </c>
      <c r="R130" s="1743"/>
      <c r="S130" s="1743"/>
      <c r="T130" s="1743"/>
      <c r="U130" s="1743"/>
    </row>
    <row r="131" spans="1:21" x14ac:dyDescent="0.25">
      <c r="A131" s="1">
        <v>128</v>
      </c>
    </row>
  </sheetData>
  <sheetProtection algorithmName="SHA-512" hashValue="iP/Psd2+5XEtm5LxzLweZJUtOy6tdhTk8Td3Wma0T+Udv5f8sijg1X4Y/nc98s9QziV1z1ae/OOVhykAt9dBlA==" saltValue="qt6NG9v5/eOPdw26IHAr9w==" spinCount="100000" sheet="1" objects="1" scenarios="1"/>
  <mergeCells count="445">
    <mergeCell ref="B100:C100"/>
    <mergeCell ref="B101:C101"/>
    <mergeCell ref="N101:O101"/>
    <mergeCell ref="B98:C98"/>
    <mergeCell ref="D98:E98"/>
    <mergeCell ref="F98:G98"/>
    <mergeCell ref="H98:I98"/>
    <mergeCell ref="J98:K98"/>
    <mergeCell ref="L98:M98"/>
    <mergeCell ref="N98:O98"/>
    <mergeCell ref="B99:C99"/>
    <mergeCell ref="D99:E99"/>
    <mergeCell ref="F99:G99"/>
    <mergeCell ref="H99:I99"/>
    <mergeCell ref="J99:K99"/>
    <mergeCell ref="L99:M99"/>
    <mergeCell ref="N99:O99"/>
    <mergeCell ref="D102:E102"/>
    <mergeCell ref="F102:G102"/>
    <mergeCell ref="H102:I102"/>
    <mergeCell ref="C115:F115"/>
    <mergeCell ref="C116:F116"/>
    <mergeCell ref="I108:U108"/>
    <mergeCell ref="I109:U109"/>
    <mergeCell ref="I110:U110"/>
    <mergeCell ref="I111:U111"/>
    <mergeCell ref="I112:U112"/>
    <mergeCell ref="I113:U113"/>
    <mergeCell ref="I114:U114"/>
    <mergeCell ref="I115:U115"/>
    <mergeCell ref="I116:U116"/>
    <mergeCell ref="G108:H108"/>
    <mergeCell ref="G109:H109"/>
    <mergeCell ref="G110:H110"/>
    <mergeCell ref="G111:H111"/>
    <mergeCell ref="R103:S103"/>
    <mergeCell ref="J102:K102"/>
    <mergeCell ref="L102:M102"/>
    <mergeCell ref="C113:F113"/>
    <mergeCell ref="C114:F114"/>
    <mergeCell ref="G112:H112"/>
    <mergeCell ref="F120:G120"/>
    <mergeCell ref="B122:C127"/>
    <mergeCell ref="D122:U122"/>
    <mergeCell ref="D123:U123"/>
    <mergeCell ref="D124:U124"/>
    <mergeCell ref="D125:U125"/>
    <mergeCell ref="D126:U126"/>
    <mergeCell ref="D127:U127"/>
    <mergeCell ref="C117:F117"/>
    <mergeCell ref="C118:F118"/>
    <mergeCell ref="G117:H117"/>
    <mergeCell ref="G118:H118"/>
    <mergeCell ref="B129:F129"/>
    <mergeCell ref="Q129:U129"/>
    <mergeCell ref="B130:F130"/>
    <mergeCell ref="Q130:U130"/>
    <mergeCell ref="P100:Q100"/>
    <mergeCell ref="P101:Q101"/>
    <mergeCell ref="B102:C102"/>
    <mergeCell ref="D100:E100"/>
    <mergeCell ref="F100:G100"/>
    <mergeCell ref="H100:I100"/>
    <mergeCell ref="N102:O102"/>
    <mergeCell ref="G116:H116"/>
    <mergeCell ref="G115:H115"/>
    <mergeCell ref="I117:U117"/>
    <mergeCell ref="I118:U118"/>
    <mergeCell ref="B103:C103"/>
    <mergeCell ref="D103:E103"/>
    <mergeCell ref="F103:G103"/>
    <mergeCell ref="H103:I103"/>
    <mergeCell ref="J103:K103"/>
    <mergeCell ref="L103:M103"/>
    <mergeCell ref="N103:O103"/>
    <mergeCell ref="P103:Q103"/>
    <mergeCell ref="B120:E120"/>
    <mergeCell ref="P97:Q97"/>
    <mergeCell ref="R97:S97"/>
    <mergeCell ref="P99:Q99"/>
    <mergeCell ref="J100:K100"/>
    <mergeCell ref="L100:M100"/>
    <mergeCell ref="N100:O100"/>
    <mergeCell ref="D101:E101"/>
    <mergeCell ref="F101:G101"/>
    <mergeCell ref="H101:I101"/>
    <mergeCell ref="J101:K101"/>
    <mergeCell ref="L101:M101"/>
    <mergeCell ref="P94:Q94"/>
    <mergeCell ref="R94:S94"/>
    <mergeCell ref="R99:S99"/>
    <mergeCell ref="P102:Q102"/>
    <mergeCell ref="R102:S102"/>
    <mergeCell ref="R100:S100"/>
    <mergeCell ref="R101:S101"/>
    <mergeCell ref="T101:U102"/>
    <mergeCell ref="B96:C96"/>
    <mergeCell ref="D96:E96"/>
    <mergeCell ref="F96:G96"/>
    <mergeCell ref="H96:I96"/>
    <mergeCell ref="J96:K96"/>
    <mergeCell ref="L96:M96"/>
    <mergeCell ref="N96:O96"/>
    <mergeCell ref="P96:Q96"/>
    <mergeCell ref="R96:S96"/>
    <mergeCell ref="B97:C97"/>
    <mergeCell ref="D97:E97"/>
    <mergeCell ref="F97:G97"/>
    <mergeCell ref="H97:I97"/>
    <mergeCell ref="J97:K97"/>
    <mergeCell ref="L97:M97"/>
    <mergeCell ref="N97:O97"/>
    <mergeCell ref="B92:I92"/>
    <mergeCell ref="J92:M92"/>
    <mergeCell ref="N92:Q92"/>
    <mergeCell ref="R92:S92"/>
    <mergeCell ref="T92:U93"/>
    <mergeCell ref="B93:C93"/>
    <mergeCell ref="D93:E93"/>
    <mergeCell ref="F93:G93"/>
    <mergeCell ref="J93:K93"/>
    <mergeCell ref="L93:M93"/>
    <mergeCell ref="N93:O93"/>
    <mergeCell ref="P93:Q93"/>
    <mergeCell ref="R93:S93"/>
    <mergeCell ref="H93:I93"/>
    <mergeCell ref="B88:E88"/>
    <mergeCell ref="G88:I88"/>
    <mergeCell ref="K88:M88"/>
    <mergeCell ref="O88:Q88"/>
    <mergeCell ref="B90:E90"/>
    <mergeCell ref="F90:K90"/>
    <mergeCell ref="L90:O90"/>
    <mergeCell ref="P90:T90"/>
    <mergeCell ref="P86:Q86"/>
    <mergeCell ref="R86:S86"/>
    <mergeCell ref="L86:M86"/>
    <mergeCell ref="N86:O86"/>
    <mergeCell ref="B82:C82"/>
    <mergeCell ref="B83:C83"/>
    <mergeCell ref="B84:C84"/>
    <mergeCell ref="B85:C85"/>
    <mergeCell ref="B86:C86"/>
    <mergeCell ref="D86:E86"/>
    <mergeCell ref="F86:G86"/>
    <mergeCell ref="H86:I86"/>
    <mergeCell ref="J86:K86"/>
    <mergeCell ref="J82:K82"/>
    <mergeCell ref="P84:Q84"/>
    <mergeCell ref="R84:S84"/>
    <mergeCell ref="D85:E85"/>
    <mergeCell ref="F85:G85"/>
    <mergeCell ref="H85:I85"/>
    <mergeCell ref="J85:K85"/>
    <mergeCell ref="L85:M85"/>
    <mergeCell ref="N85:O85"/>
    <mergeCell ref="P85:Q85"/>
    <mergeCell ref="R85:S85"/>
    <mergeCell ref="D84:E84"/>
    <mergeCell ref="F84:G84"/>
    <mergeCell ref="H84:I84"/>
    <mergeCell ref="J84:K84"/>
    <mergeCell ref="L84:M84"/>
    <mergeCell ref="N84:O84"/>
    <mergeCell ref="P82:Q82"/>
    <mergeCell ref="R82:S82"/>
    <mergeCell ref="D83:E83"/>
    <mergeCell ref="F83:G83"/>
    <mergeCell ref="H83:I83"/>
    <mergeCell ref="J83:K83"/>
    <mergeCell ref="L83:M83"/>
    <mergeCell ref="N83:O83"/>
    <mergeCell ref="P83:Q83"/>
    <mergeCell ref="R83:S83"/>
    <mergeCell ref="T83:U84"/>
    <mergeCell ref="B80:C80"/>
    <mergeCell ref="D80:E80"/>
    <mergeCell ref="F80:G80"/>
    <mergeCell ref="H80:I80"/>
    <mergeCell ref="J80:K80"/>
    <mergeCell ref="L80:M80"/>
    <mergeCell ref="N80:O80"/>
    <mergeCell ref="P80:Q80"/>
    <mergeCell ref="R80:S80"/>
    <mergeCell ref="B81:C81"/>
    <mergeCell ref="D81:E81"/>
    <mergeCell ref="F81:G81"/>
    <mergeCell ref="H81:I81"/>
    <mergeCell ref="J81:K81"/>
    <mergeCell ref="L81:M81"/>
    <mergeCell ref="N81:O81"/>
    <mergeCell ref="P81:Q81"/>
    <mergeCell ref="R81:S81"/>
    <mergeCell ref="D82:E82"/>
    <mergeCell ref="F82:G82"/>
    <mergeCell ref="H82:I82"/>
    <mergeCell ref="L82:M82"/>
    <mergeCell ref="N82:O82"/>
    <mergeCell ref="B79:I79"/>
    <mergeCell ref="J79:M79"/>
    <mergeCell ref="N79:Q79"/>
    <mergeCell ref="T71:U71"/>
    <mergeCell ref="B73:G73"/>
    <mergeCell ref="B75:E75"/>
    <mergeCell ref="G75:I75"/>
    <mergeCell ref="K75:M75"/>
    <mergeCell ref="O75:Q75"/>
    <mergeCell ref="R79:S79"/>
    <mergeCell ref="T79:U80"/>
    <mergeCell ref="B71:E71"/>
    <mergeCell ref="F71:G71"/>
    <mergeCell ref="H71:I71"/>
    <mergeCell ref="J71:K71"/>
    <mergeCell ref="L71:M71"/>
    <mergeCell ref="N71:O71"/>
    <mergeCell ref="P71:Q71"/>
    <mergeCell ref="R71:S71"/>
    <mergeCell ref="B77:E77"/>
    <mergeCell ref="F77:I77"/>
    <mergeCell ref="P69:Q69"/>
    <mergeCell ref="R69:S69"/>
    <mergeCell ref="T69:U69"/>
    <mergeCell ref="B70:E70"/>
    <mergeCell ref="F70:G70"/>
    <mergeCell ref="H70:I70"/>
    <mergeCell ref="J70:K70"/>
    <mergeCell ref="L70:M70"/>
    <mergeCell ref="N70:O70"/>
    <mergeCell ref="P70:Q70"/>
    <mergeCell ref="B69:E69"/>
    <mergeCell ref="F69:G69"/>
    <mergeCell ref="H69:I69"/>
    <mergeCell ref="J69:K69"/>
    <mergeCell ref="L69:M69"/>
    <mergeCell ref="N69:O69"/>
    <mergeCell ref="R70:S70"/>
    <mergeCell ref="T70:U70"/>
    <mergeCell ref="J63:K63"/>
    <mergeCell ref="L63:M63"/>
    <mergeCell ref="N63:O63"/>
    <mergeCell ref="P63:Q63"/>
    <mergeCell ref="R63:S63"/>
    <mergeCell ref="T63:U63"/>
    <mergeCell ref="J62:K62"/>
    <mergeCell ref="L62:M62"/>
    <mergeCell ref="N62:O62"/>
    <mergeCell ref="P62:Q62"/>
    <mergeCell ref="R62:S62"/>
    <mergeCell ref="T62:U62"/>
    <mergeCell ref="B66:G66"/>
    <mergeCell ref="B68:E68"/>
    <mergeCell ref="F68:I68"/>
    <mergeCell ref="J68:U68"/>
    <mergeCell ref="J64:K64"/>
    <mergeCell ref="L64:M64"/>
    <mergeCell ref="N64:O64"/>
    <mergeCell ref="P64:Q64"/>
    <mergeCell ref="R64:S64"/>
    <mergeCell ref="T64:U64"/>
    <mergeCell ref="B62:E62"/>
    <mergeCell ref="B63:E63"/>
    <mergeCell ref="B64:E64"/>
    <mergeCell ref="F62:G62"/>
    <mergeCell ref="H62:I62"/>
    <mergeCell ref="F63:G63"/>
    <mergeCell ref="H63:I63"/>
    <mergeCell ref="F64:G64"/>
    <mergeCell ref="H64:I64"/>
    <mergeCell ref="P59:Q59"/>
    <mergeCell ref="R58:U58"/>
    <mergeCell ref="R59:U59"/>
    <mergeCell ref="H59:K59"/>
    <mergeCell ref="B61:E61"/>
    <mergeCell ref="F61:I61"/>
    <mergeCell ref="J61:U61"/>
    <mergeCell ref="R54:U54"/>
    <mergeCell ref="B58:G58"/>
    <mergeCell ref="B59:G59"/>
    <mergeCell ref="H58:K58"/>
    <mergeCell ref="L58:M58"/>
    <mergeCell ref="L59:M59"/>
    <mergeCell ref="N59:O59"/>
    <mergeCell ref="N58:O58"/>
    <mergeCell ref="P58:Q58"/>
    <mergeCell ref="B56:G56"/>
    <mergeCell ref="B53:M53"/>
    <mergeCell ref="B54:M54"/>
    <mergeCell ref="N52:O52"/>
    <mergeCell ref="P52:Q52"/>
    <mergeCell ref="R52:U52"/>
    <mergeCell ref="N53:O53"/>
    <mergeCell ref="P53:Q53"/>
    <mergeCell ref="R53:U53"/>
    <mergeCell ref="N54:O54"/>
    <mergeCell ref="P54:Q54"/>
    <mergeCell ref="B52:M52"/>
    <mergeCell ref="N44:O44"/>
    <mergeCell ref="N45:O45"/>
    <mergeCell ref="N46:O46"/>
    <mergeCell ref="N47:O47"/>
    <mergeCell ref="N48:O48"/>
    <mergeCell ref="F48:K48"/>
    <mergeCell ref="F49:K49"/>
    <mergeCell ref="D43:E43"/>
    <mergeCell ref="D44:E44"/>
    <mergeCell ref="D45:E45"/>
    <mergeCell ref="D46:E46"/>
    <mergeCell ref="D47:E47"/>
    <mergeCell ref="D48:E48"/>
    <mergeCell ref="D49:E49"/>
    <mergeCell ref="F46:K46"/>
    <mergeCell ref="F43:K43"/>
    <mergeCell ref="F44:K44"/>
    <mergeCell ref="F45:K45"/>
    <mergeCell ref="F47:K47"/>
    <mergeCell ref="P43:U43"/>
    <mergeCell ref="P44:U44"/>
    <mergeCell ref="P45:U45"/>
    <mergeCell ref="P46:U46"/>
    <mergeCell ref="N49:O49"/>
    <mergeCell ref="R30:U30"/>
    <mergeCell ref="B51:M51"/>
    <mergeCell ref="N51:O51"/>
    <mergeCell ref="P51:Q51"/>
    <mergeCell ref="R51:U51"/>
    <mergeCell ref="P47:U47"/>
    <mergeCell ref="P48:U48"/>
    <mergeCell ref="P49:U49"/>
    <mergeCell ref="B41:C49"/>
    <mergeCell ref="D41:E41"/>
    <mergeCell ref="D42:E42"/>
    <mergeCell ref="N41:O41"/>
    <mergeCell ref="N42:O42"/>
    <mergeCell ref="L41:M49"/>
    <mergeCell ref="R35:U35"/>
    <mergeCell ref="R36:U36"/>
    <mergeCell ref="M34:O34"/>
    <mergeCell ref="M35:O35"/>
    <mergeCell ref="N43:O43"/>
    <mergeCell ref="M36:O36"/>
    <mergeCell ref="J34:L34"/>
    <mergeCell ref="J35:L35"/>
    <mergeCell ref="J36:L36"/>
    <mergeCell ref="T37:U37"/>
    <mergeCell ref="R37:S37"/>
    <mergeCell ref="J37:L37"/>
    <mergeCell ref="F41:K41"/>
    <mergeCell ref="F42:K42"/>
    <mergeCell ref="P41:U41"/>
    <mergeCell ref="P42:U42"/>
    <mergeCell ref="B28:E28"/>
    <mergeCell ref="F24:U24"/>
    <mergeCell ref="F25:U25"/>
    <mergeCell ref="F26:U26"/>
    <mergeCell ref="F27:U27"/>
    <mergeCell ref="F28:U28"/>
    <mergeCell ref="B23:E23"/>
    <mergeCell ref="B24:E24"/>
    <mergeCell ref="B25:E25"/>
    <mergeCell ref="R23:U23"/>
    <mergeCell ref="F23:O23"/>
    <mergeCell ref="B27:E27"/>
    <mergeCell ref="P2:U10"/>
    <mergeCell ref="B19:E19"/>
    <mergeCell ref="B13:I13"/>
    <mergeCell ref="F19:G19"/>
    <mergeCell ref="B10:F10"/>
    <mergeCell ref="G10:N10"/>
    <mergeCell ref="B11:F11"/>
    <mergeCell ref="G11:N12"/>
    <mergeCell ref="R34:U34"/>
    <mergeCell ref="P34:Q34"/>
    <mergeCell ref="F29:U29"/>
    <mergeCell ref="F30:O30"/>
    <mergeCell ref="P23:Q23"/>
    <mergeCell ref="B26:E26"/>
    <mergeCell ref="P30:Q30"/>
    <mergeCell ref="B32:Q32"/>
    <mergeCell ref="B34:C39"/>
    <mergeCell ref="D34:E34"/>
    <mergeCell ref="D35:E35"/>
    <mergeCell ref="D36:E36"/>
    <mergeCell ref="D37:E37"/>
    <mergeCell ref="B29:E29"/>
    <mergeCell ref="B30:E30"/>
    <mergeCell ref="F34:I34"/>
    <mergeCell ref="R95:S95"/>
    <mergeCell ref="B94:C94"/>
    <mergeCell ref="D94:E94"/>
    <mergeCell ref="F94:G94"/>
    <mergeCell ref="H94:I94"/>
    <mergeCell ref="J94:K94"/>
    <mergeCell ref="L94:M94"/>
    <mergeCell ref="N94:O94"/>
    <mergeCell ref="C16:E16"/>
    <mergeCell ref="H16:I16"/>
    <mergeCell ref="M16:N16"/>
    <mergeCell ref="B21:L21"/>
    <mergeCell ref="P12:U21"/>
    <mergeCell ref="P35:Q35"/>
    <mergeCell ref="P36:Q36"/>
    <mergeCell ref="P37:Q37"/>
    <mergeCell ref="M37:O37"/>
    <mergeCell ref="M39:U39"/>
    <mergeCell ref="D38:L38"/>
    <mergeCell ref="D39:L39"/>
    <mergeCell ref="M38:U38"/>
    <mergeCell ref="F35:I35"/>
    <mergeCell ref="F36:I36"/>
    <mergeCell ref="F37:I37"/>
    <mergeCell ref="G113:H113"/>
    <mergeCell ref="G114:H114"/>
    <mergeCell ref="C110:F110"/>
    <mergeCell ref="B104:C104"/>
    <mergeCell ref="D104:E104"/>
    <mergeCell ref="F104:G104"/>
    <mergeCell ref="H104:I104"/>
    <mergeCell ref="C109:F109"/>
    <mergeCell ref="C111:F111"/>
    <mergeCell ref="C112:F112"/>
    <mergeCell ref="B106:H106"/>
    <mergeCell ref="T81:U81"/>
    <mergeCell ref="T82:U82"/>
    <mergeCell ref="T85:U85"/>
    <mergeCell ref="T86:U86"/>
    <mergeCell ref="T94:U94"/>
    <mergeCell ref="T95:U95"/>
    <mergeCell ref="T103:U103"/>
    <mergeCell ref="T104:U104"/>
    <mergeCell ref="C108:F108"/>
    <mergeCell ref="J104:K104"/>
    <mergeCell ref="L104:M104"/>
    <mergeCell ref="P98:Q98"/>
    <mergeCell ref="R98:S98"/>
    <mergeCell ref="B95:C95"/>
    <mergeCell ref="N104:O104"/>
    <mergeCell ref="P104:Q104"/>
    <mergeCell ref="R104:S104"/>
    <mergeCell ref="D95:E95"/>
    <mergeCell ref="F95:G95"/>
    <mergeCell ref="H95:I95"/>
    <mergeCell ref="J95:K95"/>
    <mergeCell ref="L95:M95"/>
    <mergeCell ref="N95:O95"/>
    <mergeCell ref="P95:Q95"/>
  </mergeCells>
  <printOptions horizontalCentered="1" verticalCentered="1"/>
  <pageMargins left="0.39370078740157483" right="0.39370078740157483" top="0.59055118110236227" bottom="0.59055118110236227" header="0.31496062992125984" footer="0.31496062992125984"/>
  <pageSetup paperSize="9" scale="76" fitToHeight="2" orientation="portrait" r:id="rId1"/>
  <headerFooter>
    <oddFooter>&amp;C&amp;"Arial Narrow,Normale"&amp;9Modulo ENE-Mod-404-01-16     Revisione 04     Approvato da RQ     Data emissione 03/04/2017&amp;R&amp;"Arial Narrow,Normale"&amp;9&amp;P di &amp;N</oddFooter>
  </headerFooter>
  <rowBreaks count="1" manualBreakCount="1">
    <brk id="65" min="1"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87"/>
  <sheetViews>
    <sheetView tabSelected="1" topLeftCell="A211" zoomScaleNormal="100" workbookViewId="0">
      <selection activeCell="D218" sqref="D218"/>
    </sheetView>
  </sheetViews>
  <sheetFormatPr defaultColWidth="8.85546875" defaultRowHeight="15" x14ac:dyDescent="0.25"/>
  <cols>
    <col min="1" max="1" width="46.42578125" style="885" bestFit="1" customWidth="1"/>
    <col min="2" max="2" width="73.140625" style="909" bestFit="1" customWidth="1"/>
    <col min="3" max="3" width="53.42578125" style="886" bestFit="1" customWidth="1"/>
    <col min="4" max="4" width="66" style="909" customWidth="1"/>
    <col min="5" max="5" width="75.7109375" style="887" customWidth="1"/>
    <col min="6" max="6" width="139.5703125" customWidth="1"/>
    <col min="7" max="7" width="27.85546875" bestFit="1" customWidth="1"/>
  </cols>
  <sheetData>
    <row r="1" spans="1:7" ht="19.5" thickBot="1" x14ac:dyDescent="0.35">
      <c r="A1" s="720" t="s">
        <v>1256</v>
      </c>
      <c r="B1" s="890" t="s">
        <v>1254</v>
      </c>
      <c r="C1" s="720" t="s">
        <v>1250</v>
      </c>
      <c r="D1" s="890" t="s">
        <v>1255</v>
      </c>
      <c r="E1" s="720" t="s">
        <v>1272</v>
      </c>
      <c r="F1" s="721" t="s">
        <v>1353</v>
      </c>
      <c r="G1" s="720" t="s">
        <v>1758</v>
      </c>
    </row>
    <row r="2" spans="1:7" ht="15.75" thickBot="1" x14ac:dyDescent="0.3">
      <c r="A2" s="722" t="s">
        <v>1102</v>
      </c>
      <c r="B2" s="916" t="s">
        <v>1354</v>
      </c>
      <c r="C2" s="723" t="s">
        <v>1355</v>
      </c>
      <c r="D2" s="724" t="s">
        <v>1352</v>
      </c>
      <c r="E2" s="724" t="s">
        <v>1356</v>
      </c>
      <c r="F2" s="725" t="s">
        <v>1600</v>
      </c>
      <c r="G2" s="1024" t="s">
        <v>1759</v>
      </c>
    </row>
    <row r="3" spans="1:7" ht="15.75" thickBot="1" x14ac:dyDescent="0.3">
      <c r="A3" s="726" t="s">
        <v>1102</v>
      </c>
      <c r="B3" s="917" t="s">
        <v>1351</v>
      </c>
      <c r="C3" s="727" t="s">
        <v>1598</v>
      </c>
      <c r="D3" s="938">
        <v>4</v>
      </c>
      <c r="E3" s="728" t="s">
        <v>1357</v>
      </c>
      <c r="F3" s="725" t="s">
        <v>1600</v>
      </c>
    </row>
    <row r="4" spans="1:7" x14ac:dyDescent="0.25">
      <c r="A4" s="729" t="s">
        <v>1358</v>
      </c>
      <c r="B4" s="918" t="str">
        <f>'MODELLO DOGANE'!B16</f>
        <v>N°</v>
      </c>
      <c r="C4" s="730" t="s">
        <v>1359</v>
      </c>
      <c r="D4" s="888" t="str">
        <f>'MODELLO DOGANE'!C16</f>
        <v>CP200077</v>
      </c>
      <c r="E4" s="731" t="s">
        <v>1360</v>
      </c>
      <c r="F4" s="732"/>
    </row>
    <row r="5" spans="1:7" ht="15.75" thickBot="1" x14ac:dyDescent="0.3">
      <c r="A5" s="733" t="s">
        <v>1358</v>
      </c>
      <c r="B5" s="919" t="str">
        <f>'MODELLO DOGANE'!G16</f>
        <v>del</v>
      </c>
      <c r="C5" s="734" t="s">
        <v>1251</v>
      </c>
      <c r="D5" s="939">
        <f>'MODELLO DOGANE'!H16</f>
        <v>44041</v>
      </c>
      <c r="E5" s="735" t="s">
        <v>1361</v>
      </c>
      <c r="F5" s="736"/>
    </row>
    <row r="6" spans="1:7" x14ac:dyDescent="0.25">
      <c r="A6" s="737" t="s">
        <v>1362</v>
      </c>
      <c r="B6" s="920" t="str">
        <f>'MODELLO DOGANE'!K16</f>
        <v>valido sino a</v>
      </c>
      <c r="C6" s="738" t="s">
        <v>1252</v>
      </c>
      <c r="D6" s="942">
        <f>'MODELLO DOGANE'!M16</f>
        <v>45136</v>
      </c>
      <c r="E6" s="739" t="s">
        <v>1361</v>
      </c>
      <c r="F6" s="740"/>
    </row>
    <row r="7" spans="1:7" x14ac:dyDescent="0.25">
      <c r="A7" s="741" t="s">
        <v>1362</v>
      </c>
      <c r="B7" s="921" t="str">
        <f>'MODELLO DOGANE'!B19</f>
        <v>Orario inizio operazioni:</v>
      </c>
      <c r="C7" s="742" t="s">
        <v>1363</v>
      </c>
      <c r="D7" s="940">
        <f>'MODELLO DOGANE'!F19</f>
        <v>0.37013888888888885</v>
      </c>
      <c r="E7" s="743" t="s">
        <v>1364</v>
      </c>
      <c r="F7" s="744"/>
    </row>
    <row r="8" spans="1:7" x14ac:dyDescent="0.25">
      <c r="A8" s="741" t="s">
        <v>1362</v>
      </c>
      <c r="B8" s="921" t="str">
        <f>'MODELLO DOGANE'!B120</f>
        <v>Orario fine operazioni:</v>
      </c>
      <c r="C8" s="742" t="s">
        <v>1365</v>
      </c>
      <c r="D8" s="941">
        <f>'MODELLO DOGANE'!F120</f>
        <v>0.4513888888888889</v>
      </c>
      <c r="E8" s="743" t="s">
        <v>1364</v>
      </c>
      <c r="F8" s="744"/>
    </row>
    <row r="9" spans="1:7" x14ac:dyDescent="0.25">
      <c r="A9" s="741" t="s">
        <v>1362</v>
      </c>
      <c r="B9" s="921" t="str">
        <f>'MODELLO DOGANE'!B27</f>
        <v>Luogo della Verifica:</v>
      </c>
      <c r="C9" s="742" t="s">
        <v>1366</v>
      </c>
      <c r="D9" s="889" t="str">
        <f>'MODELLO DOGANE'!F27</f>
        <v>NICCHIA POSTA IN PARETE CENTRALE TERMICA</v>
      </c>
      <c r="E9" s="745" t="s">
        <v>1746</v>
      </c>
      <c r="F9" s="744"/>
    </row>
    <row r="10" spans="1:7" x14ac:dyDescent="0.25">
      <c r="A10" s="741" t="s">
        <v>1362</v>
      </c>
      <c r="B10" s="921" t="str">
        <f>'MODELLO DOGANE'!B28</f>
        <v>Servizio / Posizione:</v>
      </c>
      <c r="C10" s="746" t="s">
        <v>1367</v>
      </c>
      <c r="D10" s="889" t="str">
        <f>'MODELLO DOGANE'!F28</f>
        <v>PRODUZIONE COGENERATORE MASTER - MATRICOLA 3086</v>
      </c>
      <c r="E10" s="745" t="s">
        <v>1391</v>
      </c>
      <c r="F10" s="744"/>
    </row>
    <row r="11" spans="1:7" ht="60" x14ac:dyDescent="0.25">
      <c r="A11" s="741" t="s">
        <v>1362</v>
      </c>
      <c r="B11" s="921" t="str">
        <f>'MODELLO DOGANE'!B29</f>
        <v>Tipo di Verifica:</v>
      </c>
      <c r="C11" s="746" t="s">
        <v>1368</v>
      </c>
      <c r="D11" s="889">
        <f>IF('MODELLO DOGANE'!F29="Prima verifica",1,IF('MODELLO DOGANE'!F29="Verifica Periodica",2,IF('MODELLO DOGANE'!F29="Verifica Straordinaria",3,"ERRORE")))</f>
        <v>2</v>
      </c>
      <c r="E11" s="745" t="s">
        <v>1658</v>
      </c>
      <c r="F11" s="747"/>
    </row>
    <row r="12" spans="1:7" ht="60" x14ac:dyDescent="0.25">
      <c r="A12" s="741" t="s">
        <v>1362</v>
      </c>
      <c r="B12" s="921" t="str">
        <f>'MODELLO DOGANE'!B30</f>
        <v>Connessione:</v>
      </c>
      <c r="C12" s="746" t="s">
        <v>1369</v>
      </c>
      <c r="D12" s="910" t="str">
        <f>'MODELLO DOGANE'!F30</f>
        <v>MT</v>
      </c>
      <c r="E12" s="745" t="s">
        <v>1370</v>
      </c>
      <c r="F12" s="748"/>
    </row>
    <row r="13" spans="1:7" ht="15.75" thickBot="1" x14ac:dyDescent="0.3">
      <c r="A13" s="749" t="s">
        <v>1362</v>
      </c>
      <c r="B13" s="922" t="str">
        <f>'MODELLO DOGANE'!P30</f>
        <v>Tensione imp.</v>
      </c>
      <c r="C13" s="750" t="s">
        <v>1371</v>
      </c>
      <c r="D13" s="892" t="str">
        <f>'MODELLO DOGANE'!R30</f>
        <v>20 kV</v>
      </c>
      <c r="E13" s="751" t="s">
        <v>1372</v>
      </c>
      <c r="F13" s="752" t="s">
        <v>1373</v>
      </c>
    </row>
    <row r="14" spans="1:7" x14ac:dyDescent="0.25">
      <c r="A14" s="753" t="s">
        <v>1374</v>
      </c>
      <c r="B14" s="923" t="str">
        <f>'MODELLO DOGANE'!B23</f>
        <v>Codice accisa:</v>
      </c>
      <c r="C14" s="754" t="s">
        <v>1375</v>
      </c>
      <c r="D14" s="893" t="str">
        <f>'MODELLO DOGANE'!F23</f>
        <v>BSE03161F</v>
      </c>
      <c r="E14" s="973" t="s">
        <v>1760</v>
      </c>
      <c r="F14" s="757" t="s">
        <v>1376</v>
      </c>
    </row>
    <row r="15" spans="1:7" x14ac:dyDescent="0.25">
      <c r="A15" s="758" t="s">
        <v>1374</v>
      </c>
      <c r="B15" s="924" t="str">
        <f>'MODELLO DOGANE'!P23</f>
        <v>Cod. Fiscale</v>
      </c>
      <c r="C15" s="759" t="s">
        <v>1377</v>
      </c>
      <c r="D15" s="1796" t="s">
        <v>1768</v>
      </c>
      <c r="E15" s="974" t="s">
        <v>1683</v>
      </c>
      <c r="F15" s="764" t="s">
        <v>1695</v>
      </c>
    </row>
    <row r="16" spans="1:7" ht="30" x14ac:dyDescent="0.25">
      <c r="A16" s="758" t="s">
        <v>1374</v>
      </c>
      <c r="B16" s="924" t="str">
        <f>'MODELLO DOGANE'!B25</f>
        <v>Ubicazione impianto:</v>
      </c>
      <c r="C16" s="762" t="s">
        <v>1378</v>
      </c>
      <c r="D16" s="975" t="s">
        <v>1701</v>
      </c>
      <c r="E16" s="802" t="s">
        <v>1747</v>
      </c>
      <c r="F16" s="972" t="s">
        <v>1695</v>
      </c>
    </row>
    <row r="17" spans="1:6" ht="30" x14ac:dyDescent="0.25">
      <c r="A17" s="758" t="s">
        <v>1374</v>
      </c>
      <c r="B17" s="926" t="s">
        <v>1379</v>
      </c>
      <c r="C17" s="762" t="s">
        <v>1380</v>
      </c>
      <c r="D17" s="911">
        <v>128</v>
      </c>
      <c r="E17" s="840" t="s">
        <v>1381</v>
      </c>
      <c r="F17" s="764" t="s">
        <v>1695</v>
      </c>
    </row>
    <row r="18" spans="1:6" ht="30" x14ac:dyDescent="0.25">
      <c r="A18" s="758" t="s">
        <v>1374</v>
      </c>
      <c r="B18" s="926" t="s">
        <v>1382</v>
      </c>
      <c r="C18" s="762" t="s">
        <v>1383</v>
      </c>
      <c r="D18" s="911" t="s">
        <v>1702</v>
      </c>
      <c r="E18" s="763" t="s">
        <v>1761</v>
      </c>
      <c r="F18" s="764" t="s">
        <v>1695</v>
      </c>
    </row>
    <row r="19" spans="1:6" ht="30" x14ac:dyDescent="0.25">
      <c r="A19" s="758" t="s">
        <v>1374</v>
      </c>
      <c r="B19" s="926" t="s">
        <v>1384</v>
      </c>
      <c r="C19" s="762" t="s">
        <v>1385</v>
      </c>
      <c r="D19" s="911" t="s">
        <v>1703</v>
      </c>
      <c r="E19" s="763" t="s">
        <v>1386</v>
      </c>
      <c r="F19" s="764" t="s">
        <v>1695</v>
      </c>
    </row>
    <row r="20" spans="1:6" ht="30.75" thickBot="1" x14ac:dyDescent="0.3">
      <c r="A20" s="765" t="s">
        <v>1374</v>
      </c>
      <c r="B20" s="927" t="s">
        <v>1387</v>
      </c>
      <c r="C20" s="766" t="s">
        <v>1388</v>
      </c>
      <c r="D20" s="914">
        <v>26100</v>
      </c>
      <c r="E20" s="767" t="s">
        <v>1682</v>
      </c>
      <c r="F20" s="764" t="s">
        <v>1695</v>
      </c>
    </row>
    <row r="21" spans="1:6" x14ac:dyDescent="0.25">
      <c r="A21" s="768" t="s">
        <v>8</v>
      </c>
      <c r="B21" s="920" t="str">
        <f>'MODELLO DOGANE'!D34</f>
        <v>Matricola:</v>
      </c>
      <c r="C21" s="738" t="s">
        <v>367</v>
      </c>
      <c r="D21" s="897" t="str">
        <f>'MODELLO DOGANE'!F34</f>
        <v>97005555</v>
      </c>
      <c r="E21" s="769" t="s">
        <v>1487</v>
      </c>
      <c r="F21" s="770"/>
    </row>
    <row r="22" spans="1:6" x14ac:dyDescent="0.25">
      <c r="A22" s="771" t="s">
        <v>8</v>
      </c>
      <c r="B22" s="921" t="str">
        <f>'MODELLO DOGANE'!D35</f>
        <v>Marca:</v>
      </c>
      <c r="C22" s="772" t="s">
        <v>1389</v>
      </c>
      <c r="D22" s="889" t="str">
        <f>'MODELLO DOGANE'!F35</f>
        <v>LANDIS+GYR</v>
      </c>
      <c r="E22" s="745" t="s">
        <v>1391</v>
      </c>
      <c r="F22" s="773"/>
    </row>
    <row r="23" spans="1:6" x14ac:dyDescent="0.25">
      <c r="A23" s="771" t="s">
        <v>8</v>
      </c>
      <c r="B23" s="921" t="str">
        <f>'MODELLO DOGANE'!D36</f>
        <v>Modello:</v>
      </c>
      <c r="C23" s="772" t="s">
        <v>1390</v>
      </c>
      <c r="D23" s="889" t="str">
        <f>'MODELLO DOGANE'!F36</f>
        <v>ZMD405CR44.0007 S3a B32</v>
      </c>
      <c r="E23" s="745" t="s">
        <v>1391</v>
      </c>
      <c r="F23" s="773"/>
    </row>
    <row r="24" spans="1:6" x14ac:dyDescent="0.25">
      <c r="A24" s="771" t="s">
        <v>8</v>
      </c>
      <c r="B24" s="921" t="str">
        <f>'MODELLO DOGANE'!D37</f>
        <v>MID:</v>
      </c>
      <c r="C24" s="772" t="s">
        <v>1392</v>
      </c>
      <c r="D24" s="889" t="str">
        <f>'MODELLO DOGANE'!F37</f>
        <v>CE M20 1259</v>
      </c>
      <c r="E24" s="745" t="s">
        <v>1414</v>
      </c>
      <c r="F24" s="747"/>
    </row>
    <row r="25" spans="1:6" x14ac:dyDescent="0.25">
      <c r="A25" s="771" t="s">
        <v>8</v>
      </c>
      <c r="B25" s="921" t="str">
        <f>'MODELLO DOGANE'!D38</f>
        <v>Cost. integr. del contatore</v>
      </c>
      <c r="C25" s="772" t="s">
        <v>1393</v>
      </c>
      <c r="D25" s="891" t="str">
        <f>'MODELLO DOGANE'!M38</f>
        <v>10000   impulsi/kWh</v>
      </c>
      <c r="E25" s="745" t="s">
        <v>1394</v>
      </c>
      <c r="F25" s="774" t="s">
        <v>1764</v>
      </c>
    </row>
    <row r="26" spans="1:6" x14ac:dyDescent="0.25">
      <c r="A26" s="771" t="s">
        <v>8</v>
      </c>
      <c r="B26" s="921" t="s">
        <v>1762</v>
      </c>
      <c r="C26" s="1025" t="s">
        <v>1763</v>
      </c>
      <c r="D26" s="911" t="s">
        <v>611</v>
      </c>
      <c r="E26" s="745" t="s">
        <v>1395</v>
      </c>
      <c r="F26" s="775" t="s">
        <v>1765</v>
      </c>
    </row>
    <row r="27" spans="1:6" ht="14.25" customHeight="1" x14ac:dyDescent="0.25">
      <c r="A27" s="771" t="s">
        <v>8</v>
      </c>
      <c r="B27" s="921" t="str">
        <f>'MODELLO DOGANE'!J34</f>
        <v>Classe attiva:</v>
      </c>
      <c r="C27" s="772" t="s">
        <v>1396</v>
      </c>
      <c r="D27" s="889" t="str">
        <f>'MODELLO DOGANE'!M34</f>
        <v>C</v>
      </c>
      <c r="E27" s="745" t="s">
        <v>1397</v>
      </c>
      <c r="F27" s="747"/>
    </row>
    <row r="28" spans="1:6" ht="60" x14ac:dyDescent="0.25">
      <c r="A28" s="771" t="s">
        <v>8</v>
      </c>
      <c r="B28" s="921" t="str">
        <f>'MODELLO DOGANE'!J35</f>
        <v>Tipo inserzione:</v>
      </c>
      <c r="C28" s="772" t="s">
        <v>1398</v>
      </c>
      <c r="D28" s="911" t="s">
        <v>1602</v>
      </c>
      <c r="E28" s="745" t="s">
        <v>1399</v>
      </c>
      <c r="F28" s="748" t="s">
        <v>1603</v>
      </c>
    </row>
    <row r="29" spans="1:6" x14ac:dyDescent="0.25">
      <c r="A29" s="771" t="s">
        <v>8</v>
      </c>
      <c r="B29" s="921" t="s">
        <v>1400</v>
      </c>
      <c r="C29" s="772" t="s">
        <v>1401</v>
      </c>
      <c r="D29" s="911" t="s">
        <v>1402</v>
      </c>
      <c r="E29" s="745" t="s">
        <v>1402</v>
      </c>
      <c r="F29" s="748" t="s">
        <v>1403</v>
      </c>
    </row>
    <row r="30" spans="1:6" x14ac:dyDescent="0.25">
      <c r="A30" s="771" t="s">
        <v>8</v>
      </c>
      <c r="B30" s="921" t="str">
        <f>'MODELLO DOGANE'!J36</f>
        <v>Frequenza:</v>
      </c>
      <c r="C30" s="772" t="s">
        <v>1404</v>
      </c>
      <c r="D30" s="889" t="str">
        <f>'MODELLO DOGANE'!M36</f>
        <v>50</v>
      </c>
      <c r="E30" s="745" t="s">
        <v>1405</v>
      </c>
      <c r="F30" s="747"/>
    </row>
    <row r="31" spans="1:6" x14ac:dyDescent="0.25">
      <c r="A31" s="771" t="s">
        <v>8</v>
      </c>
      <c r="B31" s="921" t="s">
        <v>1406</v>
      </c>
      <c r="C31" s="772" t="s">
        <v>1407</v>
      </c>
      <c r="D31" s="911" t="s">
        <v>61</v>
      </c>
      <c r="E31" s="745" t="s">
        <v>61</v>
      </c>
      <c r="F31" s="748" t="s">
        <v>1408</v>
      </c>
    </row>
    <row r="32" spans="1:6" x14ac:dyDescent="0.25">
      <c r="A32" s="771" t="s">
        <v>8</v>
      </c>
      <c r="B32" s="921" t="str">
        <f>'MODELLO DOGANE'!P34</f>
        <v>Tensione:</v>
      </c>
      <c r="C32" s="772" t="s">
        <v>1409</v>
      </c>
      <c r="D32" s="911" t="s">
        <v>1685</v>
      </c>
      <c r="E32" s="745" t="s">
        <v>1748</v>
      </c>
      <c r="F32" s="748" t="s">
        <v>1686</v>
      </c>
    </row>
    <row r="33" spans="1:6" x14ac:dyDescent="0.25">
      <c r="A33" s="771" t="s">
        <v>8</v>
      </c>
      <c r="B33" s="921" t="s">
        <v>1410</v>
      </c>
      <c r="C33" s="772" t="s">
        <v>1411</v>
      </c>
      <c r="D33" s="911" t="s">
        <v>20</v>
      </c>
      <c r="E33" s="745" t="s">
        <v>20</v>
      </c>
      <c r="F33" s="748" t="s">
        <v>1412</v>
      </c>
    </row>
    <row r="34" spans="1:6" x14ac:dyDescent="0.25">
      <c r="A34" s="771" t="s">
        <v>8</v>
      </c>
      <c r="B34" s="921" t="str">
        <f>'MODELLO DOGANE'!P35</f>
        <v>Corrente:</v>
      </c>
      <c r="C34" s="772" t="s">
        <v>1413</v>
      </c>
      <c r="D34" s="891" t="str">
        <f>'MODELLO DOGANE'!R35</f>
        <v>0,05-5(10)</v>
      </c>
      <c r="E34" s="745" t="s">
        <v>1414</v>
      </c>
      <c r="F34" s="748" t="s">
        <v>1604</v>
      </c>
    </row>
    <row r="35" spans="1:6" x14ac:dyDescent="0.25">
      <c r="A35" s="771" t="s">
        <v>8</v>
      </c>
      <c r="B35" s="921" t="str">
        <f>'MODELLO DOGANE'!P36</f>
        <v>K contatore:</v>
      </c>
      <c r="C35" s="772" t="s">
        <v>1415</v>
      </c>
      <c r="D35" s="889" t="str">
        <f>'MODELLO DOGANE'!R36</f>
        <v>1</v>
      </c>
      <c r="E35" s="745" t="s">
        <v>1416</v>
      </c>
      <c r="F35" s="747"/>
    </row>
    <row r="36" spans="1:6" x14ac:dyDescent="0.25">
      <c r="A36" s="771" t="s">
        <v>8</v>
      </c>
      <c r="B36" s="921" t="s">
        <v>1417</v>
      </c>
      <c r="C36" s="772" t="s">
        <v>1418</v>
      </c>
      <c r="D36" s="911">
        <v>6000</v>
      </c>
      <c r="E36" s="745" t="s">
        <v>1419</v>
      </c>
      <c r="F36" s="748" t="s">
        <v>1420</v>
      </c>
    </row>
    <row r="37" spans="1:6" x14ac:dyDescent="0.25">
      <c r="A37" s="771" t="s">
        <v>8</v>
      </c>
      <c r="B37" s="921" t="str">
        <f>'MODELLO DOGANE'!J37</f>
        <v>L'integratore ha:</v>
      </c>
      <c r="C37" s="772" t="s">
        <v>1421</v>
      </c>
      <c r="D37" s="889" t="str">
        <f>'MODELLO DOGANE'!M37</f>
        <v>6</v>
      </c>
      <c r="E37" s="745" t="s">
        <v>1419</v>
      </c>
      <c r="F37" s="747"/>
    </row>
    <row r="38" spans="1:6" x14ac:dyDescent="0.25">
      <c r="A38" s="771" t="s">
        <v>8</v>
      </c>
      <c r="B38" s="921" t="str">
        <f>'MODELLO DOGANE'!T37</f>
        <v>decimali</v>
      </c>
      <c r="C38" s="772" t="s">
        <v>1422</v>
      </c>
      <c r="D38" s="889" t="str">
        <f>'MODELLO DOGANE'!R37</f>
        <v>2</v>
      </c>
      <c r="E38" s="745" t="s">
        <v>1423</v>
      </c>
      <c r="F38" s="747"/>
    </row>
    <row r="39" spans="1:6" ht="15.75" thickBot="1" x14ac:dyDescent="0.3">
      <c r="A39" s="776" t="s">
        <v>8</v>
      </c>
      <c r="B39" s="922" t="str">
        <f>'MODELLO DOGANE'!D39</f>
        <v>Costante di lettura dell'intero gruppo di misura k=</v>
      </c>
      <c r="C39" s="777" t="s">
        <v>1424</v>
      </c>
      <c r="D39" s="961">
        <f>'MODELLO DOGANE'!M39</f>
        <v>1</v>
      </c>
      <c r="E39" s="751" t="s">
        <v>1425</v>
      </c>
      <c r="F39" s="778"/>
    </row>
    <row r="40" spans="1:6" x14ac:dyDescent="0.25">
      <c r="A40" s="779" t="s">
        <v>1426</v>
      </c>
      <c r="B40" s="925" t="str">
        <f>'MODELLO DOGANE'!D41</f>
        <v>Marca:</v>
      </c>
      <c r="C40" s="780" t="s">
        <v>1427</v>
      </c>
      <c r="D40" s="898" t="str">
        <f>'MODELLO DOGANE'!F41</f>
        <v>S.A.EL.</v>
      </c>
      <c r="E40" s="781" t="s">
        <v>1428</v>
      </c>
      <c r="F40" s="782"/>
    </row>
    <row r="41" spans="1:6" x14ac:dyDescent="0.25">
      <c r="A41" s="783" t="s">
        <v>1426</v>
      </c>
      <c r="B41" s="926" t="str">
        <f>'MODELLO DOGANE'!D42</f>
        <v>Modello:</v>
      </c>
      <c r="C41" s="784" t="s">
        <v>1429</v>
      </c>
      <c r="D41" s="895" t="str">
        <f>'MODELLO DOGANE'!F42</f>
        <v>TCO80</v>
      </c>
      <c r="E41" s="763" t="s">
        <v>1428</v>
      </c>
      <c r="F41" s="761"/>
    </row>
    <row r="42" spans="1:6" x14ac:dyDescent="0.25">
      <c r="A42" s="783" t="s">
        <v>1426</v>
      </c>
      <c r="B42" s="926" t="str">
        <f>'MODELLO DOGANE'!D43</f>
        <v>Rapporto:</v>
      </c>
      <c r="C42" s="784" t="s">
        <v>1430</v>
      </c>
      <c r="D42" s="911">
        <v>150</v>
      </c>
      <c r="E42" s="763" t="s">
        <v>1419</v>
      </c>
      <c r="F42" s="785" t="s">
        <v>1431</v>
      </c>
    </row>
    <row r="43" spans="1:6" x14ac:dyDescent="0.25">
      <c r="A43" s="783" t="s">
        <v>1426</v>
      </c>
      <c r="B43" s="926" t="s">
        <v>1432</v>
      </c>
      <c r="C43" s="784" t="s">
        <v>1433</v>
      </c>
      <c r="D43" s="911">
        <v>5</v>
      </c>
      <c r="E43" s="763" t="s">
        <v>1419</v>
      </c>
      <c r="F43" s="785" t="s">
        <v>1434</v>
      </c>
    </row>
    <row r="44" spans="1:6" x14ac:dyDescent="0.25">
      <c r="A44" s="783" t="s">
        <v>1426</v>
      </c>
      <c r="B44" s="926" t="str">
        <f>'MODELLO DOGANE'!D44</f>
        <v>Classe:</v>
      </c>
      <c r="C44" s="784" t="s">
        <v>1435</v>
      </c>
      <c r="D44" s="895" t="str">
        <f>'MODELLO DOGANE'!F44</f>
        <v>0,5S</v>
      </c>
      <c r="E44" s="763" t="s">
        <v>1436</v>
      </c>
      <c r="F44" s="761"/>
    </row>
    <row r="45" spans="1:6" x14ac:dyDescent="0.25">
      <c r="A45" s="783" t="s">
        <v>1426</v>
      </c>
      <c r="B45" s="926" t="str">
        <f>'MODELLO DOGANE'!D46</f>
        <v>Prest. (VA)</v>
      </c>
      <c r="C45" s="784" t="s">
        <v>1437</v>
      </c>
      <c r="D45" s="895">
        <f>'MODELLO DOGANE'!F46</f>
        <v>5</v>
      </c>
      <c r="E45" s="763" t="s">
        <v>1436</v>
      </c>
      <c r="F45" s="761"/>
    </row>
    <row r="46" spans="1:6" x14ac:dyDescent="0.25">
      <c r="A46" s="783" t="s">
        <v>1426</v>
      </c>
      <c r="B46" s="926" t="s">
        <v>1438</v>
      </c>
      <c r="C46" s="784" t="s">
        <v>1439</v>
      </c>
      <c r="D46" s="911" t="s">
        <v>1402</v>
      </c>
      <c r="E46" s="763" t="s">
        <v>1402</v>
      </c>
      <c r="F46" s="785" t="s">
        <v>1403</v>
      </c>
    </row>
    <row r="47" spans="1:6" x14ac:dyDescent="0.25">
      <c r="A47" s="786" t="s">
        <v>1426</v>
      </c>
      <c r="B47" s="926" t="str">
        <f>'MODELLO DOGANE'!D45</f>
        <v>Frequenza:</v>
      </c>
      <c r="C47" s="784" t="s">
        <v>1440</v>
      </c>
      <c r="D47" s="895" t="str">
        <f>'MODELLO DOGANE'!F45</f>
        <v>50</v>
      </c>
      <c r="E47" s="763" t="s">
        <v>1441</v>
      </c>
      <c r="F47" s="761"/>
    </row>
    <row r="48" spans="1:6" x14ac:dyDescent="0.25">
      <c r="A48" s="786" t="s">
        <v>1426</v>
      </c>
      <c r="B48" s="926" t="str">
        <f>'MODELLO DOGANE'!D47</f>
        <v>N° Matr.</v>
      </c>
      <c r="C48" s="784" t="s">
        <v>1442</v>
      </c>
      <c r="D48" s="895" t="str">
        <f>'MODELLO DOGANE'!F47</f>
        <v>111111</v>
      </c>
      <c r="E48" s="763" t="s">
        <v>1443</v>
      </c>
      <c r="F48" s="761"/>
    </row>
    <row r="49" spans="1:6" x14ac:dyDescent="0.25">
      <c r="A49" s="786" t="s">
        <v>1426</v>
      </c>
      <c r="B49" s="926" t="str">
        <f>'MODELLO DOGANE'!D48</f>
        <v>N° Matr.</v>
      </c>
      <c r="C49" s="784" t="s">
        <v>1444</v>
      </c>
      <c r="D49" s="895" t="str">
        <f>'MODELLO DOGANE'!F48</f>
        <v>222222</v>
      </c>
      <c r="E49" s="763" t="s">
        <v>1443</v>
      </c>
      <c r="F49" s="761"/>
    </row>
    <row r="50" spans="1:6" ht="15.75" thickBot="1" x14ac:dyDescent="0.3">
      <c r="A50" s="787" t="s">
        <v>1426</v>
      </c>
      <c r="B50" s="927" t="str">
        <f>'MODELLO DOGANE'!D49</f>
        <v>N° Matr.</v>
      </c>
      <c r="C50" s="788" t="s">
        <v>1445</v>
      </c>
      <c r="D50" s="896" t="str">
        <f>'MODELLO DOGANE'!F49</f>
        <v>333333</v>
      </c>
      <c r="E50" s="767" t="s">
        <v>1443</v>
      </c>
      <c r="F50" s="789"/>
    </row>
    <row r="51" spans="1:6" x14ac:dyDescent="0.25">
      <c r="A51" s="768" t="s">
        <v>1446</v>
      </c>
      <c r="B51" s="920" t="str">
        <f>'MODELLO DOGANE'!N41</f>
        <v>Marca:</v>
      </c>
      <c r="C51" s="738" t="s">
        <v>1447</v>
      </c>
      <c r="D51" s="897" t="str">
        <f>'MODELLO DOGANE'!P41</f>
        <v>REVALCO</v>
      </c>
      <c r="E51" s="769" t="s">
        <v>1428</v>
      </c>
      <c r="F51" s="790"/>
    </row>
    <row r="52" spans="1:6" x14ac:dyDescent="0.25">
      <c r="A52" s="791" t="s">
        <v>1446</v>
      </c>
      <c r="B52" s="921" t="str">
        <f>'MODELLO DOGANE'!N42</f>
        <v>Modello:</v>
      </c>
      <c r="C52" s="772" t="s">
        <v>1448</v>
      </c>
      <c r="D52" s="889" t="str">
        <f>'MODELLO DOGANE'!P42</f>
        <v>TT10</v>
      </c>
      <c r="E52" s="792" t="s">
        <v>1428</v>
      </c>
      <c r="F52" s="748"/>
    </row>
    <row r="53" spans="1:6" x14ac:dyDescent="0.25">
      <c r="A53" s="791" t="s">
        <v>1446</v>
      </c>
      <c r="B53" s="921" t="str">
        <f>'MODELLO DOGANE'!N43</f>
        <v>Rapporto:</v>
      </c>
      <c r="C53" s="772" t="s">
        <v>1449</v>
      </c>
      <c r="D53" s="911">
        <v>20000</v>
      </c>
      <c r="E53" s="745" t="s">
        <v>1419</v>
      </c>
      <c r="F53" s="748" t="s">
        <v>1450</v>
      </c>
    </row>
    <row r="54" spans="1:6" x14ac:dyDescent="0.25">
      <c r="A54" s="791" t="s">
        <v>1446</v>
      </c>
      <c r="B54" s="921" t="s">
        <v>1451</v>
      </c>
      <c r="C54" s="772" t="s">
        <v>1452</v>
      </c>
      <c r="D54" s="911">
        <v>1.732</v>
      </c>
      <c r="E54" s="793">
        <v>1.732</v>
      </c>
      <c r="F54" s="748" t="s">
        <v>1453</v>
      </c>
    </row>
    <row r="55" spans="1:6" x14ac:dyDescent="0.25">
      <c r="A55" s="791" t="s">
        <v>1446</v>
      </c>
      <c r="B55" s="921" t="s">
        <v>1432</v>
      </c>
      <c r="C55" s="772" t="s">
        <v>1454</v>
      </c>
      <c r="D55" s="911">
        <v>100</v>
      </c>
      <c r="E55" s="745" t="s">
        <v>1419</v>
      </c>
      <c r="F55" s="748" t="s">
        <v>1455</v>
      </c>
    </row>
    <row r="56" spans="1:6" x14ac:dyDescent="0.25">
      <c r="A56" s="791" t="s">
        <v>1446</v>
      </c>
      <c r="B56" s="921" t="s">
        <v>1456</v>
      </c>
      <c r="C56" s="772" t="s">
        <v>1457</v>
      </c>
      <c r="D56" s="911">
        <v>1.732</v>
      </c>
      <c r="E56" s="793">
        <v>1.732</v>
      </c>
      <c r="F56" s="748" t="s">
        <v>1458</v>
      </c>
    </row>
    <row r="57" spans="1:6" x14ac:dyDescent="0.25">
      <c r="A57" s="791" t="s">
        <v>1446</v>
      </c>
      <c r="B57" s="921" t="str">
        <f>'MODELLO DOGANE'!N44</f>
        <v>Classe:</v>
      </c>
      <c r="C57" s="772" t="s">
        <v>1459</v>
      </c>
      <c r="D57" s="889" t="str">
        <f>'MODELLO DOGANE'!P44</f>
        <v>0,2</v>
      </c>
      <c r="E57" s="792" t="s">
        <v>1436</v>
      </c>
      <c r="F57" s="748"/>
    </row>
    <row r="58" spans="1:6" x14ac:dyDescent="0.25">
      <c r="A58" s="791" t="s">
        <v>1446</v>
      </c>
      <c r="B58" s="921" t="str">
        <f>'MODELLO DOGANE'!N46</f>
        <v>Prest. (VA)</v>
      </c>
      <c r="C58" s="772" t="s">
        <v>1460</v>
      </c>
      <c r="D58" s="889">
        <f>'MODELLO DOGANE'!P46</f>
        <v>3</v>
      </c>
      <c r="E58" s="792" t="s">
        <v>1436</v>
      </c>
      <c r="F58" s="748"/>
    </row>
    <row r="59" spans="1:6" x14ac:dyDescent="0.25">
      <c r="A59" s="791" t="s">
        <v>1446</v>
      </c>
      <c r="B59" s="921" t="s">
        <v>1461</v>
      </c>
      <c r="C59" s="772" t="s">
        <v>1462</v>
      </c>
      <c r="D59" s="911" t="s">
        <v>1402</v>
      </c>
      <c r="E59" s="745" t="s">
        <v>1402</v>
      </c>
      <c r="F59" s="748" t="s">
        <v>1403</v>
      </c>
    </row>
    <row r="60" spans="1:6" x14ac:dyDescent="0.25">
      <c r="A60" s="791" t="s">
        <v>1446</v>
      </c>
      <c r="B60" s="921" t="str">
        <f>'MODELLO DOGANE'!N45</f>
        <v>Frequenza:</v>
      </c>
      <c r="C60" s="772" t="s">
        <v>1463</v>
      </c>
      <c r="D60" s="889" t="str">
        <f>'MODELLO DOGANE'!P45</f>
        <v>50</v>
      </c>
      <c r="E60" s="745" t="s">
        <v>1441</v>
      </c>
      <c r="F60" s="748"/>
    </row>
    <row r="61" spans="1:6" x14ac:dyDescent="0.25">
      <c r="A61" s="791" t="s">
        <v>1446</v>
      </c>
      <c r="B61" s="921" t="str">
        <f>'MODELLO DOGANE'!N47</f>
        <v>N° Matr.</v>
      </c>
      <c r="C61" s="772" t="s">
        <v>1464</v>
      </c>
      <c r="D61" s="889" t="str">
        <f>'MODELLO DOGANE'!P47</f>
        <v>444444</v>
      </c>
      <c r="E61" s="792" t="s">
        <v>1443</v>
      </c>
      <c r="F61" s="748"/>
    </row>
    <row r="62" spans="1:6" x14ac:dyDescent="0.25">
      <c r="A62" s="791" t="s">
        <v>1446</v>
      </c>
      <c r="B62" s="921" t="str">
        <f>'MODELLO DOGANE'!N48</f>
        <v>N° Matr.</v>
      </c>
      <c r="C62" s="772" t="s">
        <v>1465</v>
      </c>
      <c r="D62" s="889"/>
      <c r="E62" s="792" t="s">
        <v>1443</v>
      </c>
      <c r="F62" s="748"/>
    </row>
    <row r="63" spans="1:6" ht="15.75" thickBot="1" x14ac:dyDescent="0.3">
      <c r="A63" s="794" t="s">
        <v>1446</v>
      </c>
      <c r="B63" s="922" t="str">
        <f>'MODELLO DOGANE'!N49</f>
        <v>N° Matr.</v>
      </c>
      <c r="C63" s="777" t="s">
        <v>1466</v>
      </c>
      <c r="D63" s="892" t="str">
        <f>'MODELLO DOGANE'!P49</f>
        <v>666666</v>
      </c>
      <c r="E63" s="795" t="s">
        <v>1443</v>
      </c>
      <c r="F63" s="796"/>
    </row>
    <row r="64" spans="1:6" ht="60" x14ac:dyDescent="0.25">
      <c r="A64" s="797" t="s">
        <v>1467</v>
      </c>
      <c r="B64" s="928" t="str">
        <f>'MODELLO DOGANE'!B52</f>
        <v>Verifica della corretta inserzione e del corretto funzionamento</v>
      </c>
      <c r="C64" s="798" t="s">
        <v>1468</v>
      </c>
      <c r="D64" s="899">
        <f>IF('MODELLO DOGANE'!N52="No",0,IF('MODELLO DOGANE'!N52="Si",1,IF('MODELLO DOGANE'!N52="Non eseguibile",2)))</f>
        <v>1</v>
      </c>
      <c r="E64" s="756" t="s">
        <v>1659</v>
      </c>
      <c r="F64" s="785" t="s">
        <v>1607</v>
      </c>
    </row>
    <row r="65" spans="1:6" ht="60" x14ac:dyDescent="0.25">
      <c r="A65" s="800" t="s">
        <v>1467</v>
      </c>
      <c r="B65" s="934" t="s">
        <v>1469</v>
      </c>
      <c r="C65" s="801" t="s">
        <v>1470</v>
      </c>
      <c r="D65" s="900">
        <f>IF('MODELLO DOGANE'!P52="Negativo",0,IF('MODELLO DOGANE'!P52="Positivo",1,IF('MODELLO DOGANE'!P52="Non eseguita",2)))</f>
        <v>1</v>
      </c>
      <c r="E65" s="802" t="s">
        <v>1660</v>
      </c>
      <c r="F65" s="803"/>
    </row>
    <row r="66" spans="1:6" ht="15.75" thickBot="1" x14ac:dyDescent="0.3">
      <c r="A66" s="804" t="s">
        <v>1467</v>
      </c>
      <c r="B66" s="949" t="s">
        <v>1469</v>
      </c>
      <c r="C66" s="805" t="s">
        <v>1471</v>
      </c>
      <c r="D66" s="901" t="str">
        <f>'MODELLO DOGANE'!R52</f>
        <v>NOTA1</v>
      </c>
      <c r="E66" s="806" t="s">
        <v>1472</v>
      </c>
      <c r="F66" s="807"/>
    </row>
    <row r="67" spans="1:6" ht="60" x14ac:dyDescent="0.25">
      <c r="A67" s="808" t="s">
        <v>1473</v>
      </c>
      <c r="B67" s="929" t="str">
        <f>'MODELLO DOGANE'!B53</f>
        <v>Controllo del coefficiente di conversione nominale complessivo del sistema (K)</v>
      </c>
      <c r="C67" s="809" t="s">
        <v>1474</v>
      </c>
      <c r="D67" s="902">
        <f>IF('MODELLO DOGANE'!N53="No",0,IF('MODELLO DOGANE'!N53="Si",1,IF('MODELLO DOGANE'!N53="Non eseguibile",2)))</f>
        <v>0</v>
      </c>
      <c r="E67" s="810" t="s">
        <v>1659</v>
      </c>
      <c r="F67" s="748" t="s">
        <v>1607</v>
      </c>
    </row>
    <row r="68" spans="1:6" ht="60" x14ac:dyDescent="0.25">
      <c r="A68" s="812" t="s">
        <v>1473</v>
      </c>
      <c r="B68" s="932" t="s">
        <v>1469</v>
      </c>
      <c r="C68" s="813" t="s">
        <v>1475</v>
      </c>
      <c r="D68" s="903">
        <f>IF('MODELLO DOGANE'!P53="Negativo",0,IF('MODELLO DOGANE'!P53="Positivo",1,IF('MODELLO DOGANE'!P53="Non eseguita",2)))</f>
        <v>2</v>
      </c>
      <c r="E68" s="814" t="s">
        <v>1660</v>
      </c>
      <c r="F68" s="815"/>
    </row>
    <row r="69" spans="1:6" ht="15.75" thickBot="1" x14ac:dyDescent="0.3">
      <c r="A69" s="816" t="s">
        <v>1473</v>
      </c>
      <c r="B69" s="948" t="s">
        <v>1469</v>
      </c>
      <c r="C69" s="817" t="s">
        <v>1476</v>
      </c>
      <c r="D69" s="904" t="str">
        <f>'MODELLO DOGANE'!R53</f>
        <v>NOTA2</v>
      </c>
      <c r="E69" s="818" t="s">
        <v>1472</v>
      </c>
      <c r="F69" s="819"/>
    </row>
    <row r="70" spans="1:6" ht="60" x14ac:dyDescent="0.25">
      <c r="A70" s="779" t="s">
        <v>1477</v>
      </c>
      <c r="B70" s="925" t="str">
        <f>'MODELLO DOGANE'!B54</f>
        <v>Controllo della corretta integrazione del numeratore</v>
      </c>
      <c r="C70" s="798" t="s">
        <v>1478</v>
      </c>
      <c r="D70" s="898">
        <f>IF('MODELLO DOGANE'!N54="No",0,IF('MODELLO DOGANE'!N54="Si",1,IF('MODELLO DOGANE'!N54="Non eseguibile",2)))</f>
        <v>1</v>
      </c>
      <c r="E70" s="755" t="s">
        <v>1659</v>
      </c>
      <c r="F70" s="785" t="s">
        <v>1607</v>
      </c>
    </row>
    <row r="71" spans="1:6" ht="60" x14ac:dyDescent="0.25">
      <c r="A71" s="783" t="s">
        <v>1477</v>
      </c>
      <c r="B71" s="926" t="s">
        <v>1469</v>
      </c>
      <c r="C71" s="801" t="s">
        <v>1479</v>
      </c>
      <c r="D71" s="895">
        <f>IF('MODELLO DOGANE'!P54="Negativo",0,IF('MODELLO DOGANE'!P54="Positivo",1,IF('MODELLO DOGANE'!P54="Non eseguita",2)))</f>
        <v>0</v>
      </c>
      <c r="E71" s="760" t="s">
        <v>1660</v>
      </c>
      <c r="F71" s="803"/>
    </row>
    <row r="72" spans="1:6" ht="15.75" thickBot="1" x14ac:dyDescent="0.3">
      <c r="A72" s="820" t="s">
        <v>1477</v>
      </c>
      <c r="B72" s="927" t="s">
        <v>1469</v>
      </c>
      <c r="C72" s="821" t="s">
        <v>1480</v>
      </c>
      <c r="D72" s="896" t="str">
        <f>'MODELLO DOGANE'!R54</f>
        <v>NOTA3</v>
      </c>
      <c r="E72" s="822" t="s">
        <v>1472</v>
      </c>
      <c r="F72" s="823"/>
    </row>
    <row r="73" spans="1:6" ht="75.75" thickBot="1" x14ac:dyDescent="0.3">
      <c r="A73" s="794" t="s">
        <v>1657</v>
      </c>
      <c r="B73" s="930" t="str">
        <f>'MODELLO DOGANE'!H56</f>
        <v>Eseguita su:</v>
      </c>
      <c r="C73" s="824" t="s">
        <v>1481</v>
      </c>
      <c r="D73" s="912">
        <v>1</v>
      </c>
      <c r="E73" s="795" t="s">
        <v>1661</v>
      </c>
      <c r="F73" s="825" t="s">
        <v>1482</v>
      </c>
    </row>
    <row r="74" spans="1:6" x14ac:dyDescent="0.25">
      <c r="A74" s="779" t="s">
        <v>1483</v>
      </c>
      <c r="B74" s="925" t="str">
        <f>'MODELLO DOGANE'!B58</f>
        <v>Contatore campione utilizzato      marca:</v>
      </c>
      <c r="C74" s="826" t="s">
        <v>1484</v>
      </c>
      <c r="D74" s="898" t="str">
        <f>'MODELLO DOGANE'!H58</f>
        <v>APPLIED PRECISION</v>
      </c>
      <c r="E74" s="781" t="s">
        <v>1391</v>
      </c>
      <c r="F74" s="782"/>
    </row>
    <row r="75" spans="1:6" x14ac:dyDescent="0.25">
      <c r="A75" s="786" t="s">
        <v>1483</v>
      </c>
      <c r="B75" s="926" t="str">
        <f>'MODELLO DOGANE'!L58</f>
        <v>modello:</v>
      </c>
      <c r="C75" s="762" t="s">
        <v>1485</v>
      </c>
      <c r="D75" s="895" t="str">
        <f>'MODELLO DOGANE'!N58</f>
        <v>WS2320A</v>
      </c>
      <c r="E75" s="763" t="s">
        <v>1391</v>
      </c>
      <c r="F75" s="761"/>
    </row>
    <row r="76" spans="1:6" x14ac:dyDescent="0.25">
      <c r="A76" s="786" t="s">
        <v>1483</v>
      </c>
      <c r="B76" s="926" t="str">
        <f>'MODELLO DOGANE'!P58</f>
        <v>n° di serie:</v>
      </c>
      <c r="C76" s="762" t="s">
        <v>1486</v>
      </c>
      <c r="D76" s="895">
        <f>'MODELLO DOGANE'!R58</f>
        <v>1352010366</v>
      </c>
      <c r="E76" s="763" t="s">
        <v>1487</v>
      </c>
      <c r="F76" s="761"/>
    </row>
    <row r="77" spans="1:6" x14ac:dyDescent="0.25">
      <c r="A77" s="786" t="s">
        <v>1483</v>
      </c>
      <c r="B77" s="926" t="str">
        <f>'MODELLO DOGANE'!B59</f>
        <v>Certificato di taratura LAT             numero:</v>
      </c>
      <c r="C77" s="762" t="s">
        <v>1488</v>
      </c>
      <c r="D77" s="895" t="str">
        <f>'MODELLO DOGANE'!H59</f>
        <v>CC30022/19</v>
      </c>
      <c r="E77" s="827" t="s">
        <v>1414</v>
      </c>
      <c r="F77" s="761"/>
    </row>
    <row r="78" spans="1:6" x14ac:dyDescent="0.25">
      <c r="A78" s="786" t="s">
        <v>1483</v>
      </c>
      <c r="B78" s="926" t="str">
        <f>'MODELLO DOGANE'!P59</f>
        <v>emesso da:</v>
      </c>
      <c r="C78" s="759" t="s">
        <v>1489</v>
      </c>
      <c r="D78" s="894" t="str">
        <f>'MODELLO DOGANE'!R59</f>
        <v>APPLIED PRECISION LTD</v>
      </c>
      <c r="E78" s="802" t="s">
        <v>1414</v>
      </c>
      <c r="F78" s="761"/>
    </row>
    <row r="79" spans="1:6" ht="15.75" thickBot="1" x14ac:dyDescent="0.3">
      <c r="A79" s="828" t="s">
        <v>1483</v>
      </c>
      <c r="B79" s="931" t="str">
        <f>'MODELLO DOGANE'!L59</f>
        <v>del:</v>
      </c>
      <c r="C79" s="829" t="s">
        <v>1490</v>
      </c>
      <c r="D79" s="943">
        <f>'MODELLO DOGANE'!N59</f>
        <v>43726</v>
      </c>
      <c r="E79" s="830" t="s">
        <v>1361</v>
      </c>
      <c r="F79" s="831"/>
    </row>
    <row r="80" spans="1:6" x14ac:dyDescent="0.25">
      <c r="A80" s="808" t="s">
        <v>1491</v>
      </c>
      <c r="B80" s="929" t="str">
        <f>'MODELLO DOGANE'!B62</f>
        <v>Tipo di registro:</v>
      </c>
      <c r="C80" s="832" t="s">
        <v>1492</v>
      </c>
      <c r="D80" s="902" t="str">
        <f>'MODELLO DOGANE'!F62</f>
        <v>1.8.0</v>
      </c>
      <c r="E80" s="810" t="s">
        <v>1436</v>
      </c>
      <c r="F80" s="811"/>
    </row>
    <row r="81" spans="1:6" x14ac:dyDescent="0.25">
      <c r="A81" s="812" t="s">
        <v>1491</v>
      </c>
      <c r="B81" s="932" t="s">
        <v>447</v>
      </c>
      <c r="C81" s="833" t="s">
        <v>1492</v>
      </c>
      <c r="D81" s="903" t="str">
        <f>'MODELLO DOGANE'!H62</f>
        <v>2.8.0</v>
      </c>
      <c r="E81" s="814" t="s">
        <v>1436</v>
      </c>
      <c r="F81" s="815"/>
    </row>
    <row r="82" spans="1:6" x14ac:dyDescent="0.25">
      <c r="A82" s="812" t="s">
        <v>1491</v>
      </c>
      <c r="B82" s="932" t="str">
        <f>'MODELLO DOGANE'!B63</f>
        <v>Lettura iniziale:</v>
      </c>
      <c r="C82" s="833" t="s">
        <v>1493</v>
      </c>
      <c r="D82" s="903" t="str">
        <f>'MODELLO DOGANE'!F63</f>
        <v>000001,20</v>
      </c>
      <c r="E82" s="814" t="s">
        <v>1494</v>
      </c>
      <c r="F82" s="815"/>
    </row>
    <row r="83" spans="1:6" x14ac:dyDescent="0.25">
      <c r="A83" s="812" t="s">
        <v>1491</v>
      </c>
      <c r="B83" s="932" t="s">
        <v>448</v>
      </c>
      <c r="C83" s="833" t="s">
        <v>1493</v>
      </c>
      <c r="D83" s="903" t="str">
        <f>'MODELLO DOGANE'!H63</f>
        <v>000002,30</v>
      </c>
      <c r="E83" s="814" t="s">
        <v>1494</v>
      </c>
      <c r="F83" s="815"/>
    </row>
    <row r="84" spans="1:6" x14ac:dyDescent="0.25">
      <c r="A84" s="812" t="s">
        <v>1491</v>
      </c>
      <c r="B84" s="932" t="str">
        <f>'MODELLO DOGANE'!B64</f>
        <v>Lettura finale:</v>
      </c>
      <c r="C84" s="833" t="s">
        <v>1495</v>
      </c>
      <c r="D84" s="903" t="str">
        <f>'MODELLO DOGANE'!F64</f>
        <v>000001,30</v>
      </c>
      <c r="E84" s="814" t="s">
        <v>1494</v>
      </c>
      <c r="F84" s="815"/>
    </row>
    <row r="85" spans="1:6" x14ac:dyDescent="0.25">
      <c r="A85" s="812" t="s">
        <v>1491</v>
      </c>
      <c r="B85" s="932" t="s">
        <v>449</v>
      </c>
      <c r="C85" s="833" t="s">
        <v>1495</v>
      </c>
      <c r="D85" s="903" t="str">
        <f>'MODELLO DOGANE'!H64</f>
        <v>000002,40</v>
      </c>
      <c r="E85" s="814" t="s">
        <v>1494</v>
      </c>
      <c r="F85" s="815"/>
    </row>
    <row r="86" spans="1:6" ht="15.75" thickBot="1" x14ac:dyDescent="0.3">
      <c r="A86" s="834" t="s">
        <v>1491</v>
      </c>
      <c r="B86" s="945" t="s">
        <v>1496</v>
      </c>
      <c r="C86" s="835" t="s">
        <v>1497</v>
      </c>
      <c r="D86" s="913">
        <v>2</v>
      </c>
      <c r="E86" s="836" t="s">
        <v>1498</v>
      </c>
      <c r="F86" s="837" t="s">
        <v>1499</v>
      </c>
    </row>
    <row r="87" spans="1:6" x14ac:dyDescent="0.25">
      <c r="A87" s="838" t="s">
        <v>1500</v>
      </c>
      <c r="B87" s="944" t="s">
        <v>447</v>
      </c>
      <c r="C87" s="839" t="s">
        <v>1501</v>
      </c>
      <c r="D87" s="905" t="str">
        <f>'MODELLO DOGANE'!J62</f>
        <v>3.8.0</v>
      </c>
      <c r="E87" s="840" t="s">
        <v>1436</v>
      </c>
      <c r="F87" s="841"/>
    </row>
    <row r="88" spans="1:6" x14ac:dyDescent="0.25">
      <c r="A88" s="800" t="s">
        <v>1500</v>
      </c>
      <c r="B88" s="934" t="s">
        <v>447</v>
      </c>
      <c r="C88" s="839" t="s">
        <v>1501</v>
      </c>
      <c r="D88" s="900" t="str">
        <f>'MODELLO DOGANE'!L62</f>
        <v>5.8.0</v>
      </c>
      <c r="E88" s="802" t="s">
        <v>1436</v>
      </c>
      <c r="F88" s="803"/>
    </row>
    <row r="89" spans="1:6" x14ac:dyDescent="0.25">
      <c r="A89" s="800" t="s">
        <v>1500</v>
      </c>
      <c r="B89" s="934" t="s">
        <v>447</v>
      </c>
      <c r="C89" s="839" t="s">
        <v>1501</v>
      </c>
      <c r="D89" s="900" t="str">
        <f>'MODELLO DOGANE'!N62</f>
        <v>6.8.0</v>
      </c>
      <c r="E89" s="802" t="s">
        <v>1436</v>
      </c>
      <c r="F89" s="803"/>
    </row>
    <row r="90" spans="1:6" x14ac:dyDescent="0.25">
      <c r="A90" s="800" t="s">
        <v>1500</v>
      </c>
      <c r="B90" s="934" t="s">
        <v>447</v>
      </c>
      <c r="C90" s="839" t="s">
        <v>1501</v>
      </c>
      <c r="D90" s="900" t="str">
        <f>'MODELLO DOGANE'!P62</f>
        <v>7.8.0</v>
      </c>
      <c r="E90" s="802" t="s">
        <v>1436</v>
      </c>
      <c r="F90" s="803"/>
    </row>
    <row r="91" spans="1:6" x14ac:dyDescent="0.25">
      <c r="A91" s="800" t="s">
        <v>1500</v>
      </c>
      <c r="B91" s="934" t="s">
        <v>447</v>
      </c>
      <c r="C91" s="839" t="s">
        <v>1501</v>
      </c>
      <c r="D91" s="900" t="str">
        <f>'MODELLO DOGANE'!R62</f>
        <v>8.8.0</v>
      </c>
      <c r="E91" s="802" t="s">
        <v>1436</v>
      </c>
      <c r="F91" s="803"/>
    </row>
    <row r="92" spans="1:6" x14ac:dyDescent="0.25">
      <c r="A92" s="800" t="s">
        <v>1500</v>
      </c>
      <c r="B92" s="934" t="s">
        <v>447</v>
      </c>
      <c r="C92" s="839" t="s">
        <v>1501</v>
      </c>
      <c r="D92" s="900" t="str">
        <f>'MODELLO DOGANE'!T62</f>
        <v>kWh</v>
      </c>
      <c r="E92" s="802" t="s">
        <v>1436</v>
      </c>
      <c r="F92" s="803"/>
    </row>
    <row r="93" spans="1:6" x14ac:dyDescent="0.25">
      <c r="A93" s="800" t="s">
        <v>1500</v>
      </c>
      <c r="B93" s="926" t="s">
        <v>448</v>
      </c>
      <c r="C93" s="842" t="s">
        <v>1502</v>
      </c>
      <c r="D93" s="895" t="str">
        <f>'MODELLO DOGANE'!J63</f>
        <v>111111,12</v>
      </c>
      <c r="E93" s="763" t="s">
        <v>1494</v>
      </c>
      <c r="F93" s="803"/>
    </row>
    <row r="94" spans="1:6" x14ac:dyDescent="0.25">
      <c r="A94" s="800" t="s">
        <v>1500</v>
      </c>
      <c r="B94" s="934" t="s">
        <v>448</v>
      </c>
      <c r="C94" s="842" t="s">
        <v>1502</v>
      </c>
      <c r="D94" s="900" t="str">
        <f>'MODELLO DOGANE'!L63</f>
        <v>222222,12</v>
      </c>
      <c r="E94" s="802" t="s">
        <v>1494</v>
      </c>
      <c r="F94" s="803"/>
    </row>
    <row r="95" spans="1:6" x14ac:dyDescent="0.25">
      <c r="A95" s="800" t="s">
        <v>1500</v>
      </c>
      <c r="B95" s="934" t="s">
        <v>448</v>
      </c>
      <c r="C95" s="842" t="s">
        <v>1502</v>
      </c>
      <c r="D95" s="900" t="str">
        <f>'MODELLO DOGANE'!N63</f>
        <v>333333,12</v>
      </c>
      <c r="E95" s="802" t="s">
        <v>1494</v>
      </c>
      <c r="F95" s="803"/>
    </row>
    <row r="96" spans="1:6" x14ac:dyDescent="0.25">
      <c r="A96" s="800" t="s">
        <v>1500</v>
      </c>
      <c r="B96" s="934" t="s">
        <v>448</v>
      </c>
      <c r="C96" s="842" t="s">
        <v>1502</v>
      </c>
      <c r="D96" s="900" t="str">
        <f>'MODELLO DOGANE'!P63</f>
        <v>444444,12</v>
      </c>
      <c r="E96" s="802" t="s">
        <v>1494</v>
      </c>
      <c r="F96" s="803"/>
    </row>
    <row r="97" spans="1:6" x14ac:dyDescent="0.25">
      <c r="A97" s="800" t="s">
        <v>1500</v>
      </c>
      <c r="B97" s="934" t="s">
        <v>448</v>
      </c>
      <c r="C97" s="842" t="s">
        <v>1502</v>
      </c>
      <c r="D97" s="900" t="str">
        <f>'MODELLO DOGANE'!R63</f>
        <v>555555,12</v>
      </c>
      <c r="E97" s="802" t="s">
        <v>1494</v>
      </c>
      <c r="F97" s="803"/>
    </row>
    <row r="98" spans="1:6" x14ac:dyDescent="0.25">
      <c r="A98" s="800" t="s">
        <v>1500</v>
      </c>
      <c r="B98" s="934" t="s">
        <v>448</v>
      </c>
      <c r="C98" s="842" t="s">
        <v>1502</v>
      </c>
      <c r="D98" s="900" t="str">
        <f>'MODELLO DOGANE'!T63</f>
        <v>666666,12</v>
      </c>
      <c r="E98" s="802" t="s">
        <v>1494</v>
      </c>
      <c r="F98" s="803"/>
    </row>
    <row r="99" spans="1:6" x14ac:dyDescent="0.25">
      <c r="A99" s="800" t="s">
        <v>1500</v>
      </c>
      <c r="B99" s="926" t="s">
        <v>449</v>
      </c>
      <c r="C99" s="842" t="s">
        <v>1503</v>
      </c>
      <c r="D99" s="895" t="str">
        <f>'MODELLO DOGANE'!J64</f>
        <v>111111,13</v>
      </c>
      <c r="E99" s="763" t="s">
        <v>1494</v>
      </c>
      <c r="F99" s="803"/>
    </row>
    <row r="100" spans="1:6" x14ac:dyDescent="0.25">
      <c r="A100" s="800" t="s">
        <v>1500</v>
      </c>
      <c r="B100" s="934" t="s">
        <v>449</v>
      </c>
      <c r="C100" s="842" t="s">
        <v>1503</v>
      </c>
      <c r="D100" s="900" t="str">
        <f>'MODELLO DOGANE'!L64</f>
        <v>222222,13</v>
      </c>
      <c r="E100" s="802" t="s">
        <v>1494</v>
      </c>
      <c r="F100" s="803"/>
    </row>
    <row r="101" spans="1:6" x14ac:dyDescent="0.25">
      <c r="A101" s="800" t="s">
        <v>1500</v>
      </c>
      <c r="B101" s="934" t="s">
        <v>449</v>
      </c>
      <c r="C101" s="842" t="s">
        <v>1503</v>
      </c>
      <c r="D101" s="900" t="str">
        <f>'MODELLO DOGANE'!N64</f>
        <v>333333,13</v>
      </c>
      <c r="E101" s="802" t="s">
        <v>1494</v>
      </c>
      <c r="F101" s="803"/>
    </row>
    <row r="102" spans="1:6" x14ac:dyDescent="0.25">
      <c r="A102" s="800" t="s">
        <v>1500</v>
      </c>
      <c r="B102" s="934" t="s">
        <v>449</v>
      </c>
      <c r="C102" s="842" t="s">
        <v>1503</v>
      </c>
      <c r="D102" s="900" t="str">
        <f>'MODELLO DOGANE'!P64</f>
        <v>444444,13</v>
      </c>
      <c r="E102" s="802" t="s">
        <v>1494</v>
      </c>
      <c r="F102" s="803"/>
    </row>
    <row r="103" spans="1:6" x14ac:dyDescent="0.25">
      <c r="A103" s="800" t="s">
        <v>1500</v>
      </c>
      <c r="B103" s="934" t="s">
        <v>449</v>
      </c>
      <c r="C103" s="842" t="s">
        <v>1503</v>
      </c>
      <c r="D103" s="900" t="str">
        <f>'MODELLO DOGANE'!R64</f>
        <v>555555,13</v>
      </c>
      <c r="E103" s="802" t="s">
        <v>1494</v>
      </c>
      <c r="F103" s="803"/>
    </row>
    <row r="104" spans="1:6" x14ac:dyDescent="0.25">
      <c r="A104" s="800" t="s">
        <v>1500</v>
      </c>
      <c r="B104" s="934" t="s">
        <v>449</v>
      </c>
      <c r="C104" s="842" t="s">
        <v>1503</v>
      </c>
      <c r="D104" s="900" t="str">
        <f>'MODELLO DOGANE'!T64</f>
        <v>666666,13</v>
      </c>
      <c r="E104" s="802" t="s">
        <v>1494</v>
      </c>
      <c r="F104" s="803"/>
    </row>
    <row r="105" spans="1:6" ht="15.75" thickBot="1" x14ac:dyDescent="0.3">
      <c r="A105" s="843" t="s">
        <v>1500</v>
      </c>
      <c r="B105" s="927" t="s">
        <v>1504</v>
      </c>
      <c r="C105" s="844" t="s">
        <v>1505</v>
      </c>
      <c r="D105" s="914">
        <v>6</v>
      </c>
      <c r="E105" s="845" t="s">
        <v>1506</v>
      </c>
      <c r="F105" s="846" t="s">
        <v>1507</v>
      </c>
    </row>
    <row r="106" spans="1:6" ht="75.75" thickBot="1" x14ac:dyDescent="0.3">
      <c r="A106" s="847" t="s">
        <v>1656</v>
      </c>
      <c r="B106" s="933" t="str">
        <f>'MODELLO DOGANE'!H66</f>
        <v>Eseguita su:</v>
      </c>
      <c r="C106" s="848" t="s">
        <v>1508</v>
      </c>
      <c r="D106" s="915">
        <v>3</v>
      </c>
      <c r="E106" s="849" t="s">
        <v>1661</v>
      </c>
      <c r="F106" s="850" t="s">
        <v>1482</v>
      </c>
    </row>
    <row r="107" spans="1:6" x14ac:dyDescent="0.25">
      <c r="A107" s="797" t="s">
        <v>1509</v>
      </c>
      <c r="B107" s="928" t="str">
        <f>'MODELLO DOGANE'!B69</f>
        <v>Tipo di registro:</v>
      </c>
      <c r="C107" s="851" t="s">
        <v>1510</v>
      </c>
      <c r="D107" s="899" t="str">
        <f>'MODELLO DOGANE'!F69</f>
        <v>1.8.0</v>
      </c>
      <c r="E107" s="756" t="s">
        <v>1436</v>
      </c>
      <c r="F107" s="799"/>
    </row>
    <row r="108" spans="1:6" x14ac:dyDescent="0.25">
      <c r="A108" s="800" t="s">
        <v>1509</v>
      </c>
      <c r="B108" s="934" t="s">
        <v>447</v>
      </c>
      <c r="C108" s="852" t="s">
        <v>1510</v>
      </c>
      <c r="D108" s="900" t="str">
        <f>'MODELLO DOGANE'!H69</f>
        <v>2.8.0</v>
      </c>
      <c r="E108" s="802" t="s">
        <v>1436</v>
      </c>
      <c r="F108" s="803"/>
    </row>
    <row r="109" spans="1:6" x14ac:dyDescent="0.25">
      <c r="A109" s="800" t="s">
        <v>1509</v>
      </c>
      <c r="B109" s="934" t="str">
        <f>'MODELLO DOGANE'!B70</f>
        <v>Lettura iniziale:</v>
      </c>
      <c r="C109" s="852" t="s">
        <v>1511</v>
      </c>
      <c r="D109" s="900" t="str">
        <f>'MODELLO DOGANE'!F70</f>
        <v>000001,40</v>
      </c>
      <c r="E109" s="802" t="s">
        <v>1494</v>
      </c>
      <c r="F109" s="803"/>
    </row>
    <row r="110" spans="1:6" x14ac:dyDescent="0.25">
      <c r="A110" s="800" t="s">
        <v>1509</v>
      </c>
      <c r="B110" s="934" t="s">
        <v>448</v>
      </c>
      <c r="C110" s="852" t="s">
        <v>1511</v>
      </c>
      <c r="D110" s="900" t="str">
        <f>'MODELLO DOGANE'!H70</f>
        <v>000002,50</v>
      </c>
      <c r="E110" s="802" t="s">
        <v>1494</v>
      </c>
      <c r="F110" s="803"/>
    </row>
    <row r="111" spans="1:6" x14ac:dyDescent="0.25">
      <c r="A111" s="800" t="s">
        <v>1509</v>
      </c>
      <c r="B111" s="934" t="str">
        <f>'MODELLO DOGANE'!B71</f>
        <v>Lettura finale:</v>
      </c>
      <c r="C111" s="852" t="s">
        <v>1512</v>
      </c>
      <c r="D111" s="900" t="str">
        <f>'MODELLO DOGANE'!F71</f>
        <v>000001,50</v>
      </c>
      <c r="E111" s="802" t="s">
        <v>1494</v>
      </c>
      <c r="F111" s="803"/>
    </row>
    <row r="112" spans="1:6" x14ac:dyDescent="0.25">
      <c r="A112" s="800" t="s">
        <v>1509</v>
      </c>
      <c r="B112" s="934" t="s">
        <v>449</v>
      </c>
      <c r="C112" s="852" t="s">
        <v>1512</v>
      </c>
      <c r="D112" s="900" t="str">
        <f>'MODELLO DOGANE'!H71</f>
        <v>000002,60</v>
      </c>
      <c r="E112" s="802" t="s">
        <v>1494</v>
      </c>
      <c r="F112" s="803"/>
    </row>
    <row r="113" spans="1:6" ht="15" customHeight="1" thickBot="1" x14ac:dyDescent="0.3">
      <c r="A113" s="843" t="s">
        <v>1509</v>
      </c>
      <c r="B113" s="946" t="s">
        <v>1513</v>
      </c>
      <c r="C113" s="853" t="s">
        <v>1514</v>
      </c>
      <c r="D113" s="913">
        <v>2</v>
      </c>
      <c r="E113" s="854" t="s">
        <v>1498</v>
      </c>
      <c r="F113" s="846" t="s">
        <v>1499</v>
      </c>
    </row>
    <row r="114" spans="1:6" x14ac:dyDescent="0.25">
      <c r="A114" s="791" t="s">
        <v>1515</v>
      </c>
      <c r="B114" s="947" t="s">
        <v>447</v>
      </c>
      <c r="C114" s="855" t="s">
        <v>1516</v>
      </c>
      <c r="D114" s="906" t="str">
        <f>'MODELLO DOGANE'!J69</f>
        <v>3.8.0</v>
      </c>
      <c r="E114" s="792" t="s">
        <v>1436</v>
      </c>
      <c r="F114" s="856"/>
    </row>
    <row r="115" spans="1:6" x14ac:dyDescent="0.25">
      <c r="A115" s="791" t="s">
        <v>1515</v>
      </c>
      <c r="B115" s="947" t="s">
        <v>447</v>
      </c>
      <c r="C115" s="855" t="s">
        <v>1516</v>
      </c>
      <c r="D115" s="906" t="str">
        <f>'MODELLO DOGANE'!L69</f>
        <v>5.8.0</v>
      </c>
      <c r="E115" s="792" t="s">
        <v>1436</v>
      </c>
      <c r="F115" s="856"/>
    </row>
    <row r="116" spans="1:6" x14ac:dyDescent="0.25">
      <c r="A116" s="791" t="s">
        <v>1515</v>
      </c>
      <c r="B116" s="947" t="s">
        <v>447</v>
      </c>
      <c r="C116" s="855" t="s">
        <v>1516</v>
      </c>
      <c r="D116" s="906" t="str">
        <f>'MODELLO DOGANE'!N69</f>
        <v>6.8.0</v>
      </c>
      <c r="E116" s="792" t="s">
        <v>1436</v>
      </c>
      <c r="F116" s="856"/>
    </row>
    <row r="117" spans="1:6" x14ac:dyDescent="0.25">
      <c r="A117" s="791" t="s">
        <v>1515</v>
      </c>
      <c r="B117" s="947" t="s">
        <v>447</v>
      </c>
      <c r="C117" s="855" t="s">
        <v>1516</v>
      </c>
      <c r="D117" s="906" t="str">
        <f>'MODELLO DOGANE'!P69</f>
        <v>7.8.0</v>
      </c>
      <c r="E117" s="792" t="s">
        <v>1436</v>
      </c>
      <c r="F117" s="856"/>
    </row>
    <row r="118" spans="1:6" x14ac:dyDescent="0.25">
      <c r="A118" s="791" t="s">
        <v>1515</v>
      </c>
      <c r="B118" s="947" t="s">
        <v>447</v>
      </c>
      <c r="C118" s="855" t="s">
        <v>1516</v>
      </c>
      <c r="D118" s="906" t="str">
        <f>'MODELLO DOGANE'!R69</f>
        <v>8.8.0</v>
      </c>
      <c r="E118" s="792" t="s">
        <v>1436</v>
      </c>
      <c r="F118" s="856"/>
    </row>
    <row r="119" spans="1:6" x14ac:dyDescent="0.25">
      <c r="A119" s="791" t="s">
        <v>1515</v>
      </c>
      <c r="B119" s="947" t="s">
        <v>447</v>
      </c>
      <c r="C119" s="855" t="s">
        <v>1516</v>
      </c>
      <c r="D119" s="906" t="str">
        <f>'MODELLO DOGANE'!T69</f>
        <v>kWh</v>
      </c>
      <c r="E119" s="792" t="s">
        <v>1436</v>
      </c>
      <c r="F119" s="856"/>
    </row>
    <row r="120" spans="1:6" x14ac:dyDescent="0.25">
      <c r="A120" s="771" t="s">
        <v>1515</v>
      </c>
      <c r="B120" s="921" t="s">
        <v>448</v>
      </c>
      <c r="C120" s="746" t="s">
        <v>1517</v>
      </c>
      <c r="D120" s="889" t="str">
        <f>'MODELLO DOGANE'!J70</f>
        <v>111111,14</v>
      </c>
      <c r="E120" s="857" t="s">
        <v>1494</v>
      </c>
      <c r="F120" s="747"/>
    </row>
    <row r="121" spans="1:6" x14ac:dyDescent="0.25">
      <c r="A121" s="771" t="s">
        <v>1515</v>
      </c>
      <c r="B121" s="921" t="s">
        <v>448</v>
      </c>
      <c r="C121" s="746" t="s">
        <v>1517</v>
      </c>
      <c r="D121" s="889" t="str">
        <f>'MODELLO DOGANE'!L70</f>
        <v>222222,14</v>
      </c>
      <c r="E121" s="857" t="s">
        <v>1494</v>
      </c>
      <c r="F121" s="747"/>
    </row>
    <row r="122" spans="1:6" x14ac:dyDescent="0.25">
      <c r="A122" s="771" t="s">
        <v>1515</v>
      </c>
      <c r="B122" s="921" t="s">
        <v>448</v>
      </c>
      <c r="C122" s="746" t="s">
        <v>1517</v>
      </c>
      <c r="D122" s="889" t="str">
        <f>'MODELLO DOGANE'!N70</f>
        <v>333333,14</v>
      </c>
      <c r="E122" s="857" t="s">
        <v>1494</v>
      </c>
      <c r="F122" s="747"/>
    </row>
    <row r="123" spans="1:6" x14ac:dyDescent="0.25">
      <c r="A123" s="771" t="s">
        <v>1515</v>
      </c>
      <c r="B123" s="921" t="s">
        <v>448</v>
      </c>
      <c r="C123" s="746" t="s">
        <v>1517</v>
      </c>
      <c r="D123" s="889" t="str">
        <f>'MODELLO DOGANE'!P70</f>
        <v>444444,14</v>
      </c>
      <c r="E123" s="857" t="s">
        <v>1494</v>
      </c>
      <c r="F123" s="747"/>
    </row>
    <row r="124" spans="1:6" x14ac:dyDescent="0.25">
      <c r="A124" s="771" t="s">
        <v>1515</v>
      </c>
      <c r="B124" s="921" t="s">
        <v>448</v>
      </c>
      <c r="C124" s="746" t="s">
        <v>1517</v>
      </c>
      <c r="D124" s="889" t="str">
        <f>'MODELLO DOGANE'!R70</f>
        <v>555555,14</v>
      </c>
      <c r="E124" s="857" t="s">
        <v>1494</v>
      </c>
      <c r="F124" s="747"/>
    </row>
    <row r="125" spans="1:6" x14ac:dyDescent="0.25">
      <c r="A125" s="771" t="s">
        <v>1515</v>
      </c>
      <c r="B125" s="921" t="s">
        <v>448</v>
      </c>
      <c r="C125" s="746" t="s">
        <v>1517</v>
      </c>
      <c r="D125" s="889" t="str">
        <f>'MODELLO DOGANE'!T70</f>
        <v>666666,14</v>
      </c>
      <c r="E125" s="857" t="s">
        <v>1494</v>
      </c>
      <c r="F125" s="747"/>
    </row>
    <row r="126" spans="1:6" x14ac:dyDescent="0.25">
      <c r="A126" s="771" t="s">
        <v>1515</v>
      </c>
      <c r="B126" s="921" t="s">
        <v>449</v>
      </c>
      <c r="C126" s="746" t="s">
        <v>1518</v>
      </c>
      <c r="D126" s="889" t="str">
        <f>'MODELLO DOGANE'!J71</f>
        <v>111111,15</v>
      </c>
      <c r="E126" s="857" t="s">
        <v>1494</v>
      </c>
      <c r="F126" s="747"/>
    </row>
    <row r="127" spans="1:6" x14ac:dyDescent="0.25">
      <c r="A127" s="771" t="s">
        <v>1515</v>
      </c>
      <c r="B127" s="921" t="s">
        <v>449</v>
      </c>
      <c r="C127" s="746" t="s">
        <v>1518</v>
      </c>
      <c r="D127" s="889" t="str">
        <f>'MODELLO DOGANE'!L71</f>
        <v>222222,15</v>
      </c>
      <c r="E127" s="857" t="s">
        <v>1494</v>
      </c>
      <c r="F127" s="747"/>
    </row>
    <row r="128" spans="1:6" x14ac:dyDescent="0.25">
      <c r="A128" s="771" t="s">
        <v>1515</v>
      </c>
      <c r="B128" s="921" t="s">
        <v>449</v>
      </c>
      <c r="C128" s="746" t="s">
        <v>1518</v>
      </c>
      <c r="D128" s="889" t="str">
        <f>'MODELLO DOGANE'!N71</f>
        <v>333333,15</v>
      </c>
      <c r="E128" s="857" t="s">
        <v>1494</v>
      </c>
      <c r="F128" s="747"/>
    </row>
    <row r="129" spans="1:6" x14ac:dyDescent="0.25">
      <c r="A129" s="771" t="s">
        <v>1515</v>
      </c>
      <c r="B129" s="921" t="s">
        <v>449</v>
      </c>
      <c r="C129" s="746" t="s">
        <v>1518</v>
      </c>
      <c r="D129" s="889" t="str">
        <f>'MODELLO DOGANE'!P71</f>
        <v>444444,15</v>
      </c>
      <c r="E129" s="857" t="s">
        <v>1494</v>
      </c>
      <c r="F129" s="747"/>
    </row>
    <row r="130" spans="1:6" x14ac:dyDescent="0.25">
      <c r="A130" s="771" t="s">
        <v>1515</v>
      </c>
      <c r="B130" s="921" t="s">
        <v>449</v>
      </c>
      <c r="C130" s="746" t="s">
        <v>1518</v>
      </c>
      <c r="D130" s="889" t="str">
        <f>'MODELLO DOGANE'!R71</f>
        <v>555555,15</v>
      </c>
      <c r="E130" s="857" t="s">
        <v>1494</v>
      </c>
      <c r="F130" s="747"/>
    </row>
    <row r="131" spans="1:6" x14ac:dyDescent="0.25">
      <c r="A131" s="771" t="s">
        <v>1515</v>
      </c>
      <c r="B131" s="921" t="s">
        <v>449</v>
      </c>
      <c r="C131" s="746" t="s">
        <v>1518</v>
      </c>
      <c r="D131" s="889" t="str">
        <f>'MODELLO DOGANE'!T71</f>
        <v>666666,15</v>
      </c>
      <c r="E131" s="857" t="s">
        <v>1494</v>
      </c>
      <c r="F131" s="747"/>
    </row>
    <row r="132" spans="1:6" ht="15.75" thickBot="1" x14ac:dyDescent="0.3">
      <c r="A132" s="776" t="s">
        <v>1515</v>
      </c>
      <c r="B132" s="922" t="s">
        <v>1519</v>
      </c>
      <c r="C132" s="858" t="s">
        <v>1520</v>
      </c>
      <c r="D132" s="914">
        <v>6</v>
      </c>
      <c r="E132" s="795" t="s">
        <v>1506</v>
      </c>
      <c r="F132" s="837" t="s">
        <v>1507</v>
      </c>
    </row>
    <row r="133" spans="1:6" x14ac:dyDescent="0.25">
      <c r="A133" s="779" t="s">
        <v>1521</v>
      </c>
      <c r="B133" s="925" t="s">
        <v>1522</v>
      </c>
      <c r="C133" s="780" t="s">
        <v>1523</v>
      </c>
      <c r="D133" s="950" t="s">
        <v>61</v>
      </c>
      <c r="E133" s="781" t="s">
        <v>61</v>
      </c>
      <c r="F133" s="757" t="s">
        <v>1408</v>
      </c>
    </row>
    <row r="134" spans="1:6" x14ac:dyDescent="0.25">
      <c r="A134" s="786" t="s">
        <v>1521</v>
      </c>
      <c r="B134" s="926" t="str">
        <f>'MODELLO DOGANE'!B75</f>
        <v>Tensione di misura</v>
      </c>
      <c r="C134" s="784" t="s">
        <v>1524</v>
      </c>
      <c r="D134" s="895">
        <f>'MODELLO DOGANE'!G75</f>
        <v>100</v>
      </c>
      <c r="E134" s="763" t="s">
        <v>1525</v>
      </c>
      <c r="F134" s="785"/>
    </row>
    <row r="135" spans="1:6" x14ac:dyDescent="0.25">
      <c r="A135" s="786" t="s">
        <v>1521</v>
      </c>
      <c r="B135" s="926" t="s">
        <v>1526</v>
      </c>
      <c r="C135" s="784" t="s">
        <v>1527</v>
      </c>
      <c r="D135" s="911" t="s">
        <v>61</v>
      </c>
      <c r="E135" s="763" t="s">
        <v>61</v>
      </c>
      <c r="F135" s="785" t="s">
        <v>1408</v>
      </c>
    </row>
    <row r="136" spans="1:6" x14ac:dyDescent="0.25">
      <c r="A136" s="786" t="s">
        <v>1521</v>
      </c>
      <c r="B136" s="926" t="s">
        <v>1528</v>
      </c>
      <c r="C136" s="784" t="s">
        <v>1529</v>
      </c>
      <c r="D136" s="895">
        <f>'MODELLO DOGANE'!K75</f>
        <v>100</v>
      </c>
      <c r="E136" s="763" t="s">
        <v>1525</v>
      </c>
      <c r="F136" s="785"/>
    </row>
    <row r="137" spans="1:6" x14ac:dyDescent="0.25">
      <c r="A137" s="786" t="s">
        <v>1521</v>
      </c>
      <c r="B137" s="926" t="s">
        <v>1530</v>
      </c>
      <c r="C137" s="784" t="s">
        <v>1531</v>
      </c>
      <c r="D137" s="911" t="s">
        <v>61</v>
      </c>
      <c r="E137" s="763" t="s">
        <v>61</v>
      </c>
      <c r="F137" s="785" t="s">
        <v>1408</v>
      </c>
    </row>
    <row r="138" spans="1:6" ht="15.75" thickBot="1" x14ac:dyDescent="0.3">
      <c r="A138" s="787" t="s">
        <v>1521</v>
      </c>
      <c r="B138" s="927" t="s">
        <v>1528</v>
      </c>
      <c r="C138" s="788" t="s">
        <v>1532</v>
      </c>
      <c r="D138" s="896">
        <f>'MODELLO DOGANE'!O75</f>
        <v>100</v>
      </c>
      <c r="E138" s="767" t="s">
        <v>1525</v>
      </c>
      <c r="F138" s="859"/>
    </row>
    <row r="139" spans="1:6" ht="60.75" thickBot="1" x14ac:dyDescent="0.3">
      <c r="A139" s="860" t="s">
        <v>1533</v>
      </c>
      <c r="B139" s="935" t="str">
        <f>'MODELLO DOGANE'!B77</f>
        <v>L'errore globale è stato</v>
      </c>
      <c r="C139" s="861" t="s">
        <v>1534</v>
      </c>
      <c r="D139" s="962" t="s">
        <v>1650</v>
      </c>
      <c r="E139" s="862" t="s">
        <v>1649</v>
      </c>
      <c r="F139" s="863" t="s">
        <v>1651</v>
      </c>
    </row>
    <row r="140" spans="1:6" x14ac:dyDescent="0.25">
      <c r="A140" s="753" t="s">
        <v>459</v>
      </c>
      <c r="B140" s="925" t="str">
        <f>'MODELLO DOGANE'!B80</f>
        <v>n°</v>
      </c>
      <c r="C140" s="780" t="s">
        <v>1535</v>
      </c>
      <c r="D140" s="898">
        <f>'MODELLO DOGANE'!B81</f>
        <v>1</v>
      </c>
      <c r="E140" s="781" t="s">
        <v>1662</v>
      </c>
      <c r="F140" s="757"/>
    </row>
    <row r="141" spans="1:6" x14ac:dyDescent="0.25">
      <c r="A141" s="864" t="s">
        <v>459</v>
      </c>
      <c r="B141" s="926" t="s">
        <v>465</v>
      </c>
      <c r="C141" s="784" t="s">
        <v>1535</v>
      </c>
      <c r="D141" s="895">
        <f>'MODELLO DOGANE'!B82</f>
        <v>2</v>
      </c>
      <c r="E141" s="865" t="s">
        <v>1662</v>
      </c>
      <c r="F141" s="866"/>
    </row>
    <row r="142" spans="1:6" x14ac:dyDescent="0.25">
      <c r="A142" s="864" t="s">
        <v>459</v>
      </c>
      <c r="B142" s="926" t="s">
        <v>465</v>
      </c>
      <c r="C142" s="784" t="s">
        <v>1535</v>
      </c>
      <c r="D142" s="895">
        <f>'MODELLO DOGANE'!B83</f>
        <v>3</v>
      </c>
      <c r="E142" s="865" t="s">
        <v>1662</v>
      </c>
      <c r="F142" s="866"/>
    </row>
    <row r="143" spans="1:6" x14ac:dyDescent="0.25">
      <c r="A143" s="864" t="s">
        <v>459</v>
      </c>
      <c r="B143" s="926" t="s">
        <v>465</v>
      </c>
      <c r="C143" s="784" t="s">
        <v>1535</v>
      </c>
      <c r="D143" s="895">
        <f>'MODELLO DOGANE'!B84</f>
        <v>4</v>
      </c>
      <c r="E143" s="865" t="s">
        <v>1662</v>
      </c>
      <c r="F143" s="866"/>
    </row>
    <row r="144" spans="1:6" x14ac:dyDescent="0.25">
      <c r="A144" s="864" t="s">
        <v>459</v>
      </c>
      <c r="B144" s="926" t="s">
        <v>465</v>
      </c>
      <c r="C144" s="784" t="s">
        <v>1535</v>
      </c>
      <c r="D144" s="895">
        <f>'MODELLO DOGANE'!B85</f>
        <v>5</v>
      </c>
      <c r="E144" s="865" t="s">
        <v>1662</v>
      </c>
      <c r="F144" s="866"/>
    </row>
    <row r="145" spans="1:6" x14ac:dyDescent="0.25">
      <c r="A145" s="864" t="s">
        <v>459</v>
      </c>
      <c r="B145" s="926" t="s">
        <v>465</v>
      </c>
      <c r="C145" s="784" t="s">
        <v>1535</v>
      </c>
      <c r="D145" s="895">
        <f>'MODELLO DOGANE'!B86</f>
        <v>6</v>
      </c>
      <c r="E145" s="865" t="s">
        <v>1662</v>
      </c>
      <c r="F145" s="866"/>
    </row>
    <row r="146" spans="1:6" x14ac:dyDescent="0.25">
      <c r="A146" s="864" t="s">
        <v>459</v>
      </c>
      <c r="B146" s="926" t="str">
        <f>'MODELLO DOGANE'!D80</f>
        <v>In %</v>
      </c>
      <c r="C146" s="784" t="s">
        <v>1536</v>
      </c>
      <c r="D146" s="951">
        <v>50.4</v>
      </c>
      <c r="E146" s="763" t="s">
        <v>1537</v>
      </c>
      <c r="F146" s="785" t="s">
        <v>1538</v>
      </c>
    </row>
    <row r="147" spans="1:6" x14ac:dyDescent="0.25">
      <c r="A147" s="864" t="s">
        <v>459</v>
      </c>
      <c r="B147" s="926" t="s">
        <v>466</v>
      </c>
      <c r="C147" s="784" t="s">
        <v>1536</v>
      </c>
      <c r="D147" s="951">
        <v>66</v>
      </c>
      <c r="E147" s="763" t="s">
        <v>1537</v>
      </c>
      <c r="F147" s="785" t="s">
        <v>1538</v>
      </c>
    </row>
    <row r="148" spans="1:6" x14ac:dyDescent="0.25">
      <c r="A148" s="864" t="s">
        <v>459</v>
      </c>
      <c r="B148" s="926" t="s">
        <v>466</v>
      </c>
      <c r="C148" s="784" t="s">
        <v>1536</v>
      </c>
      <c r="D148" s="951">
        <v>65.8</v>
      </c>
      <c r="E148" s="763" t="s">
        <v>1537</v>
      </c>
      <c r="F148" s="785" t="s">
        <v>1538</v>
      </c>
    </row>
    <row r="149" spans="1:6" x14ac:dyDescent="0.25">
      <c r="A149" s="864" t="s">
        <v>459</v>
      </c>
      <c r="B149" s="926" t="s">
        <v>466</v>
      </c>
      <c r="C149" s="784" t="s">
        <v>1536</v>
      </c>
      <c r="D149" s="951">
        <v>66</v>
      </c>
      <c r="E149" s="763" t="s">
        <v>1537</v>
      </c>
      <c r="F149" s="785" t="s">
        <v>1538</v>
      </c>
    </row>
    <row r="150" spans="1:6" x14ac:dyDescent="0.25">
      <c r="A150" s="864" t="s">
        <v>459</v>
      </c>
      <c r="B150" s="926" t="s">
        <v>466</v>
      </c>
      <c r="C150" s="784" t="s">
        <v>1536</v>
      </c>
      <c r="D150" s="951">
        <v>66</v>
      </c>
      <c r="E150" s="763" t="s">
        <v>1537</v>
      </c>
      <c r="F150" s="785" t="s">
        <v>1538</v>
      </c>
    </row>
    <row r="151" spans="1:6" x14ac:dyDescent="0.25">
      <c r="A151" s="864" t="s">
        <v>459</v>
      </c>
      <c r="B151" s="926" t="s">
        <v>466</v>
      </c>
      <c r="C151" s="784" t="s">
        <v>1536</v>
      </c>
      <c r="D151" s="951">
        <v>65.8</v>
      </c>
      <c r="E151" s="763" t="s">
        <v>1537</v>
      </c>
      <c r="F151" s="785" t="s">
        <v>1538</v>
      </c>
    </row>
    <row r="152" spans="1:6" ht="60" x14ac:dyDescent="0.25">
      <c r="A152" s="864" t="s">
        <v>459</v>
      </c>
      <c r="B152" s="926" t="s">
        <v>1539</v>
      </c>
      <c r="C152" s="784" t="s">
        <v>1540</v>
      </c>
      <c r="D152" s="911" t="s">
        <v>13</v>
      </c>
      <c r="E152" s="763" t="s">
        <v>1663</v>
      </c>
      <c r="F152" s="785" t="s">
        <v>1541</v>
      </c>
    </row>
    <row r="153" spans="1:6" ht="60" x14ac:dyDescent="0.25">
      <c r="A153" s="864" t="s">
        <v>459</v>
      </c>
      <c r="B153" s="926" t="s">
        <v>1539</v>
      </c>
      <c r="C153" s="784" t="s">
        <v>1540</v>
      </c>
      <c r="D153" s="911" t="s">
        <v>29</v>
      </c>
      <c r="E153" s="763" t="s">
        <v>1663</v>
      </c>
      <c r="F153" s="785" t="s">
        <v>1541</v>
      </c>
    </row>
    <row r="154" spans="1:6" ht="60" x14ac:dyDescent="0.25">
      <c r="A154" s="864" t="s">
        <v>459</v>
      </c>
      <c r="B154" s="926" t="s">
        <v>1539</v>
      </c>
      <c r="C154" s="784" t="s">
        <v>1540</v>
      </c>
      <c r="D154" s="911" t="s">
        <v>720</v>
      </c>
      <c r="E154" s="763" t="s">
        <v>1663</v>
      </c>
      <c r="F154" s="785" t="s">
        <v>1541</v>
      </c>
    </row>
    <row r="155" spans="1:6" ht="60" x14ac:dyDescent="0.25">
      <c r="A155" s="864" t="s">
        <v>459</v>
      </c>
      <c r="B155" s="926" t="s">
        <v>1539</v>
      </c>
      <c r="C155" s="784" t="s">
        <v>1540</v>
      </c>
      <c r="D155" s="911" t="s">
        <v>29</v>
      </c>
      <c r="E155" s="763" t="s">
        <v>1663</v>
      </c>
      <c r="F155" s="785" t="s">
        <v>1541</v>
      </c>
    </row>
    <row r="156" spans="1:6" ht="60" x14ac:dyDescent="0.25">
      <c r="A156" s="864" t="s">
        <v>459</v>
      </c>
      <c r="B156" s="926" t="s">
        <v>1539</v>
      </c>
      <c r="C156" s="784" t="s">
        <v>1540</v>
      </c>
      <c r="D156" s="911" t="s">
        <v>720</v>
      </c>
      <c r="E156" s="763" t="s">
        <v>1663</v>
      </c>
      <c r="F156" s="785" t="s">
        <v>1541</v>
      </c>
    </row>
    <row r="157" spans="1:6" ht="60" x14ac:dyDescent="0.25">
      <c r="A157" s="864" t="s">
        <v>459</v>
      </c>
      <c r="B157" s="926" t="s">
        <v>1539</v>
      </c>
      <c r="C157" s="784" t="s">
        <v>1540</v>
      </c>
      <c r="D157" s="911" t="s">
        <v>13</v>
      </c>
      <c r="E157" s="763" t="s">
        <v>1663</v>
      </c>
      <c r="F157" s="785" t="s">
        <v>1541</v>
      </c>
    </row>
    <row r="158" spans="1:6" x14ac:dyDescent="0.25">
      <c r="A158" s="864" t="s">
        <v>459</v>
      </c>
      <c r="B158" s="926" t="str">
        <f>'MODELLO DOGANE'!F80</f>
        <v>fdp</v>
      </c>
      <c r="C158" s="784" t="s">
        <v>1542</v>
      </c>
      <c r="D158" s="951">
        <v>0.94</v>
      </c>
      <c r="E158" s="763" t="s">
        <v>1543</v>
      </c>
      <c r="F158" s="785" t="s">
        <v>1544</v>
      </c>
    </row>
    <row r="159" spans="1:6" x14ac:dyDescent="0.25">
      <c r="A159" s="864" t="s">
        <v>459</v>
      </c>
      <c r="B159" s="926" t="s">
        <v>467</v>
      </c>
      <c r="C159" s="784" t="s">
        <v>1542</v>
      </c>
      <c r="D159" s="951">
        <v>0.95</v>
      </c>
      <c r="E159" s="763" t="s">
        <v>1543</v>
      </c>
      <c r="F159" s="785" t="s">
        <v>1544</v>
      </c>
    </row>
    <row r="160" spans="1:6" x14ac:dyDescent="0.25">
      <c r="A160" s="864" t="s">
        <v>459</v>
      </c>
      <c r="B160" s="926" t="s">
        <v>467</v>
      </c>
      <c r="C160" s="784" t="s">
        <v>1542</v>
      </c>
      <c r="D160" s="951">
        <v>0.96</v>
      </c>
      <c r="E160" s="763" t="s">
        <v>1543</v>
      </c>
      <c r="F160" s="785" t="s">
        <v>1544</v>
      </c>
    </row>
    <row r="161" spans="1:6" x14ac:dyDescent="0.25">
      <c r="A161" s="864" t="s">
        <v>459</v>
      </c>
      <c r="B161" s="926" t="s">
        <v>467</v>
      </c>
      <c r="C161" s="784" t="s">
        <v>1542</v>
      </c>
      <c r="D161" s="951">
        <v>0.97</v>
      </c>
      <c r="E161" s="763" t="s">
        <v>1543</v>
      </c>
      <c r="F161" s="785" t="s">
        <v>1544</v>
      </c>
    </row>
    <row r="162" spans="1:6" x14ac:dyDescent="0.25">
      <c r="A162" s="864" t="s">
        <v>459</v>
      </c>
      <c r="B162" s="926" t="s">
        <v>467</v>
      </c>
      <c r="C162" s="784" t="s">
        <v>1542</v>
      </c>
      <c r="D162" s="951">
        <v>0.98</v>
      </c>
      <c r="E162" s="763" t="s">
        <v>1543</v>
      </c>
      <c r="F162" s="785" t="s">
        <v>1544</v>
      </c>
    </row>
    <row r="163" spans="1:6" x14ac:dyDescent="0.25">
      <c r="A163" s="864" t="s">
        <v>459</v>
      </c>
      <c r="B163" s="926" t="s">
        <v>467</v>
      </c>
      <c r="C163" s="784" t="s">
        <v>1542</v>
      </c>
      <c r="D163" s="951">
        <v>0.99</v>
      </c>
      <c r="E163" s="763" t="s">
        <v>1543</v>
      </c>
      <c r="F163" s="785" t="s">
        <v>1544</v>
      </c>
    </row>
    <row r="164" spans="1:6" x14ac:dyDescent="0.25">
      <c r="A164" s="864" t="s">
        <v>459</v>
      </c>
      <c r="B164" s="926" t="str">
        <f>'MODELLO DOGANE'!H80</f>
        <v>kW</v>
      </c>
      <c r="C164" s="784" t="s">
        <v>1545</v>
      </c>
      <c r="D164" s="895" t="str">
        <f>'MODELLO DOGANE'!H81</f>
        <v>2,11</v>
      </c>
      <c r="E164" s="763" t="s">
        <v>1425</v>
      </c>
      <c r="F164" s="785" t="s">
        <v>1548</v>
      </c>
    </row>
    <row r="165" spans="1:6" x14ac:dyDescent="0.25">
      <c r="A165" s="864" t="s">
        <v>459</v>
      </c>
      <c r="B165" s="926" t="s">
        <v>468</v>
      </c>
      <c r="C165" s="784" t="s">
        <v>1545</v>
      </c>
      <c r="D165" s="895" t="str">
        <f>'MODELLO DOGANE'!H82</f>
        <v>2,11</v>
      </c>
      <c r="E165" s="763" t="s">
        <v>1425</v>
      </c>
      <c r="F165" s="785" t="s">
        <v>1548</v>
      </c>
    </row>
    <row r="166" spans="1:6" x14ac:dyDescent="0.25">
      <c r="A166" s="864" t="s">
        <v>459</v>
      </c>
      <c r="B166" s="926" t="s">
        <v>468</v>
      </c>
      <c r="C166" s="784" t="s">
        <v>1545</v>
      </c>
      <c r="D166" s="895" t="str">
        <f>'MODELLO DOGANE'!H83</f>
        <v>2,11</v>
      </c>
      <c r="E166" s="763" t="s">
        <v>1425</v>
      </c>
      <c r="F166" s="785" t="s">
        <v>1548</v>
      </c>
    </row>
    <row r="167" spans="1:6" x14ac:dyDescent="0.25">
      <c r="A167" s="864" t="s">
        <v>459</v>
      </c>
      <c r="B167" s="926" t="s">
        <v>468</v>
      </c>
      <c r="C167" s="784" t="s">
        <v>1545</v>
      </c>
      <c r="D167" s="895" t="str">
        <f>'MODELLO DOGANE'!H84</f>
        <v>2,11</v>
      </c>
      <c r="E167" s="763" t="s">
        <v>1425</v>
      </c>
      <c r="F167" s="785" t="s">
        <v>1548</v>
      </c>
    </row>
    <row r="168" spans="1:6" x14ac:dyDescent="0.25">
      <c r="A168" s="864" t="s">
        <v>459</v>
      </c>
      <c r="B168" s="926" t="s">
        <v>468</v>
      </c>
      <c r="C168" s="784" t="s">
        <v>1545</v>
      </c>
      <c r="D168" s="895" t="str">
        <f>'MODELLO DOGANE'!H85</f>
        <v>2,12</v>
      </c>
      <c r="E168" s="763" t="s">
        <v>1425</v>
      </c>
      <c r="F168" s="785" t="s">
        <v>1548</v>
      </c>
    </row>
    <row r="169" spans="1:6" x14ac:dyDescent="0.25">
      <c r="A169" s="864" t="s">
        <v>459</v>
      </c>
      <c r="B169" s="926" t="s">
        <v>468</v>
      </c>
      <c r="C169" s="784" t="s">
        <v>1545</v>
      </c>
      <c r="D169" s="895" t="str">
        <f>'MODELLO DOGANE'!H86</f>
        <v>2,12</v>
      </c>
      <c r="E169" s="763" t="s">
        <v>1425</v>
      </c>
      <c r="F169" s="785" t="s">
        <v>1548</v>
      </c>
    </row>
    <row r="170" spans="1:6" x14ac:dyDescent="0.25">
      <c r="A170" s="864" t="s">
        <v>459</v>
      </c>
      <c r="B170" s="926" t="str">
        <f>'MODELLO DOGANE'!J80</f>
        <v>A+</v>
      </c>
      <c r="C170" s="784" t="s">
        <v>1546</v>
      </c>
      <c r="D170" s="895" t="str">
        <f>IF('MODELLO DOGANE'!J81&lt;&gt;"",'MODELLO DOGANE'!J81,"")</f>
        <v/>
      </c>
      <c r="E170" s="763" t="s">
        <v>1547</v>
      </c>
      <c r="F170" s="785" t="s">
        <v>1548</v>
      </c>
    </row>
    <row r="171" spans="1:6" x14ac:dyDescent="0.25">
      <c r="A171" s="864" t="s">
        <v>459</v>
      </c>
      <c r="B171" s="926" t="s">
        <v>469</v>
      </c>
      <c r="C171" s="784" t="s">
        <v>1546</v>
      </c>
      <c r="D171" s="895" t="str">
        <f>IF('MODELLO DOGANE'!J82&lt;&gt;"",'MODELLO DOGANE'!J82,"")</f>
        <v>-0,04</v>
      </c>
      <c r="E171" s="763" t="s">
        <v>1547</v>
      </c>
      <c r="F171" s="785" t="s">
        <v>1548</v>
      </c>
    </row>
    <row r="172" spans="1:6" x14ac:dyDescent="0.25">
      <c r="A172" s="864" t="s">
        <v>459</v>
      </c>
      <c r="B172" s="926" t="s">
        <v>469</v>
      </c>
      <c r="C172" s="784" t="s">
        <v>1546</v>
      </c>
      <c r="D172" s="895" t="str">
        <f>IF('MODELLO DOGANE'!J83&lt;&gt;"",'MODELLO DOGANE'!J83,"")</f>
        <v/>
      </c>
      <c r="E172" s="763" t="s">
        <v>1547</v>
      </c>
      <c r="F172" s="785" t="s">
        <v>1548</v>
      </c>
    </row>
    <row r="173" spans="1:6" x14ac:dyDescent="0.25">
      <c r="A173" s="864" t="s">
        <v>459</v>
      </c>
      <c r="B173" s="926" t="s">
        <v>469</v>
      </c>
      <c r="C173" s="784" t="s">
        <v>1546</v>
      </c>
      <c r="D173" s="895" t="str">
        <f>IF('MODELLO DOGANE'!J84&lt;&gt;"",'MODELLO DOGANE'!J84,"")</f>
        <v>-0,07</v>
      </c>
      <c r="E173" s="763" t="s">
        <v>1547</v>
      </c>
      <c r="F173" s="785" t="s">
        <v>1548</v>
      </c>
    </row>
    <row r="174" spans="1:6" x14ac:dyDescent="0.25">
      <c r="A174" s="864" t="s">
        <v>459</v>
      </c>
      <c r="B174" s="926" t="s">
        <v>469</v>
      </c>
      <c r="C174" s="784" t="s">
        <v>1546</v>
      </c>
      <c r="D174" s="895" t="str">
        <f>IF('MODELLO DOGANE'!J85&lt;&gt;"",'MODELLO DOGANE'!J85,"")</f>
        <v/>
      </c>
      <c r="E174" s="763" t="s">
        <v>1547</v>
      </c>
      <c r="F174" s="785" t="s">
        <v>1548</v>
      </c>
    </row>
    <row r="175" spans="1:6" x14ac:dyDescent="0.25">
      <c r="A175" s="864" t="s">
        <v>459</v>
      </c>
      <c r="B175" s="926" t="s">
        <v>469</v>
      </c>
      <c r="C175" s="784" t="s">
        <v>1546</v>
      </c>
      <c r="D175" s="895" t="str">
        <f>IF('MODELLO DOGANE'!J86&lt;&gt;"",'MODELLO DOGANE'!J86,"")</f>
        <v>+0,08</v>
      </c>
      <c r="E175" s="763" t="s">
        <v>1547</v>
      </c>
      <c r="F175" s="785" t="s">
        <v>1548</v>
      </c>
    </row>
    <row r="176" spans="1:6" x14ac:dyDescent="0.25">
      <c r="A176" s="864" t="s">
        <v>459</v>
      </c>
      <c r="B176" s="926" t="str">
        <f>'MODELLO DOGANE'!L80</f>
        <v>A-</v>
      </c>
      <c r="C176" s="784" t="s">
        <v>1549</v>
      </c>
      <c r="D176" s="895" t="str">
        <f>IF('MODELLO DOGANE'!L81&lt;&gt;"",'MODELLO DOGANE'!L81,"")</f>
        <v>-0,11</v>
      </c>
      <c r="E176" s="763" t="s">
        <v>1547</v>
      </c>
      <c r="F176" s="785" t="s">
        <v>1548</v>
      </c>
    </row>
    <row r="177" spans="1:6" x14ac:dyDescent="0.25">
      <c r="A177" s="864" t="s">
        <v>459</v>
      </c>
      <c r="B177" s="926" t="s">
        <v>470</v>
      </c>
      <c r="C177" s="784" t="s">
        <v>1549</v>
      </c>
      <c r="D177" s="895" t="str">
        <f>IF('MODELLO DOGANE'!L82&lt;&gt;"",'MODELLO DOGANE'!L82,"")</f>
        <v/>
      </c>
      <c r="E177" s="763" t="s">
        <v>1547</v>
      </c>
      <c r="F177" s="785" t="s">
        <v>1548</v>
      </c>
    </row>
    <row r="178" spans="1:6" x14ac:dyDescent="0.25">
      <c r="A178" s="864" t="s">
        <v>459</v>
      </c>
      <c r="B178" s="926" t="s">
        <v>470</v>
      </c>
      <c r="C178" s="784" t="s">
        <v>1549</v>
      </c>
      <c r="D178" s="895" t="str">
        <f>IF('MODELLO DOGANE'!L83&lt;&gt;"",'MODELLO DOGANE'!L83,"")</f>
        <v>+0,17</v>
      </c>
      <c r="E178" s="763" t="s">
        <v>1547</v>
      </c>
      <c r="F178" s="785" t="s">
        <v>1548</v>
      </c>
    </row>
    <row r="179" spans="1:6" x14ac:dyDescent="0.25">
      <c r="A179" s="864" t="s">
        <v>459</v>
      </c>
      <c r="B179" s="926" t="s">
        <v>470</v>
      </c>
      <c r="C179" s="784" t="s">
        <v>1549</v>
      </c>
      <c r="D179" s="895" t="str">
        <f>IF('MODELLO DOGANE'!L84&lt;&gt;"",'MODELLO DOGANE'!L84,"")</f>
        <v/>
      </c>
      <c r="E179" s="763" t="s">
        <v>1547</v>
      </c>
      <c r="F179" s="785" t="s">
        <v>1548</v>
      </c>
    </row>
    <row r="180" spans="1:6" x14ac:dyDescent="0.25">
      <c r="A180" s="864" t="s">
        <v>459</v>
      </c>
      <c r="B180" s="926" t="s">
        <v>470</v>
      </c>
      <c r="C180" s="784" t="s">
        <v>1549</v>
      </c>
      <c r="D180" s="895" t="str">
        <f>IF('MODELLO DOGANE'!L85&lt;&gt;"",'MODELLO DOGANE'!L85,"")</f>
        <v>+0,08</v>
      </c>
      <c r="E180" s="763" t="s">
        <v>1547</v>
      </c>
      <c r="F180" s="785" t="s">
        <v>1548</v>
      </c>
    </row>
    <row r="181" spans="1:6" x14ac:dyDescent="0.25">
      <c r="A181" s="864" t="s">
        <v>459</v>
      </c>
      <c r="B181" s="926" t="s">
        <v>470</v>
      </c>
      <c r="C181" s="784" t="s">
        <v>1549</v>
      </c>
      <c r="D181" s="895" t="str">
        <f>IF('MODELLO DOGANE'!L86&lt;&gt;"",'MODELLO DOGANE'!L86,"")</f>
        <v/>
      </c>
      <c r="E181" s="763" t="s">
        <v>1547</v>
      </c>
      <c r="F181" s="785" t="s">
        <v>1548</v>
      </c>
    </row>
    <row r="182" spans="1:6" x14ac:dyDescent="0.25">
      <c r="A182" s="864" t="s">
        <v>459</v>
      </c>
      <c r="B182" s="926" t="str">
        <f>'MODELLO DOGANE'!N80</f>
        <v>A+</v>
      </c>
      <c r="C182" s="784" t="s">
        <v>1550</v>
      </c>
      <c r="D182" s="895" t="str">
        <f>IF('MODELLO DOGANE'!N81&lt;&gt;"",'MODELLO DOGANE'!N81,"")</f>
        <v/>
      </c>
      <c r="E182" s="763" t="s">
        <v>1547</v>
      </c>
      <c r="F182" s="785" t="s">
        <v>1548</v>
      </c>
    </row>
    <row r="183" spans="1:6" x14ac:dyDescent="0.25">
      <c r="A183" s="864" t="s">
        <v>459</v>
      </c>
      <c r="B183" s="926" t="s">
        <v>469</v>
      </c>
      <c r="C183" s="784" t="s">
        <v>1550</v>
      </c>
      <c r="D183" s="895" t="str">
        <f>IF('MODELLO DOGANE'!N82&lt;&gt;"",'MODELLO DOGANE'!N82,"")</f>
        <v/>
      </c>
      <c r="E183" s="763" t="s">
        <v>1547</v>
      </c>
      <c r="F183" s="785" t="s">
        <v>1548</v>
      </c>
    </row>
    <row r="184" spans="1:6" x14ac:dyDescent="0.25">
      <c r="A184" s="864" t="s">
        <v>459</v>
      </c>
      <c r="B184" s="926" t="s">
        <v>469</v>
      </c>
      <c r="C184" s="784" t="s">
        <v>1550</v>
      </c>
      <c r="D184" s="895" t="str">
        <f>IF('MODELLO DOGANE'!N83&lt;&gt;"",'MODELLO DOGANE'!N83,"")</f>
        <v/>
      </c>
      <c r="E184" s="763" t="s">
        <v>1547</v>
      </c>
      <c r="F184" s="785" t="s">
        <v>1548</v>
      </c>
    </row>
    <row r="185" spans="1:6" x14ac:dyDescent="0.25">
      <c r="A185" s="864" t="s">
        <v>459</v>
      </c>
      <c r="B185" s="926" t="s">
        <v>469</v>
      </c>
      <c r="C185" s="784" t="s">
        <v>1550</v>
      </c>
      <c r="D185" s="895" t="str">
        <f>IF('MODELLO DOGANE'!N84&lt;&gt;"",'MODELLO DOGANE'!N84,"")</f>
        <v/>
      </c>
      <c r="E185" s="763" t="s">
        <v>1547</v>
      </c>
      <c r="F185" s="785" t="s">
        <v>1548</v>
      </c>
    </row>
    <row r="186" spans="1:6" x14ac:dyDescent="0.25">
      <c r="A186" s="864" t="s">
        <v>459</v>
      </c>
      <c r="B186" s="926" t="s">
        <v>469</v>
      </c>
      <c r="C186" s="784" t="s">
        <v>1550</v>
      </c>
      <c r="D186" s="895" t="str">
        <f>IF('MODELLO DOGANE'!N85&lt;&gt;"",'MODELLO DOGANE'!N85,"")</f>
        <v/>
      </c>
      <c r="E186" s="763" t="s">
        <v>1547</v>
      </c>
      <c r="F186" s="785" t="s">
        <v>1548</v>
      </c>
    </row>
    <row r="187" spans="1:6" x14ac:dyDescent="0.25">
      <c r="A187" s="864" t="s">
        <v>459</v>
      </c>
      <c r="B187" s="926" t="s">
        <v>469</v>
      </c>
      <c r="C187" s="784" t="s">
        <v>1550</v>
      </c>
      <c r="D187" s="895" t="str">
        <f>IF('MODELLO DOGANE'!N86&lt;&gt;"",'MODELLO DOGANE'!N86,"")</f>
        <v/>
      </c>
      <c r="E187" s="763" t="s">
        <v>1547</v>
      </c>
      <c r="F187" s="785" t="s">
        <v>1548</v>
      </c>
    </row>
    <row r="188" spans="1:6" x14ac:dyDescent="0.25">
      <c r="A188" s="864" t="s">
        <v>459</v>
      </c>
      <c r="B188" s="926" t="str">
        <f>'MODELLO DOGANE'!P80</f>
        <v>A-</v>
      </c>
      <c r="C188" s="784" t="s">
        <v>1551</v>
      </c>
      <c r="D188" s="895" t="str">
        <f>IF('MODELLO DOGANE'!P81&lt;&gt;"",'MODELLO DOGANE'!P81,"")</f>
        <v/>
      </c>
      <c r="E188" s="763" t="s">
        <v>1547</v>
      </c>
      <c r="F188" s="785" t="s">
        <v>1548</v>
      </c>
    </row>
    <row r="189" spans="1:6" x14ac:dyDescent="0.25">
      <c r="A189" s="864" t="s">
        <v>459</v>
      </c>
      <c r="B189" s="926" t="s">
        <v>470</v>
      </c>
      <c r="C189" s="784" t="s">
        <v>1551</v>
      </c>
      <c r="D189" s="895" t="str">
        <f>IF('MODELLO DOGANE'!P82&lt;&gt;"",'MODELLO DOGANE'!P82,"")</f>
        <v/>
      </c>
      <c r="E189" s="763" t="s">
        <v>1547</v>
      </c>
      <c r="F189" s="785" t="s">
        <v>1548</v>
      </c>
    </row>
    <row r="190" spans="1:6" x14ac:dyDescent="0.25">
      <c r="A190" s="864" t="s">
        <v>459</v>
      </c>
      <c r="B190" s="926" t="s">
        <v>470</v>
      </c>
      <c r="C190" s="784" t="s">
        <v>1551</v>
      </c>
      <c r="D190" s="895" t="str">
        <f>IF('MODELLO DOGANE'!P83&lt;&gt;"",'MODELLO DOGANE'!P83,"")</f>
        <v/>
      </c>
      <c r="E190" s="763" t="s">
        <v>1547</v>
      </c>
      <c r="F190" s="785" t="s">
        <v>1548</v>
      </c>
    </row>
    <row r="191" spans="1:6" x14ac:dyDescent="0.25">
      <c r="A191" s="864" t="s">
        <v>459</v>
      </c>
      <c r="B191" s="926" t="s">
        <v>470</v>
      </c>
      <c r="C191" s="784" t="s">
        <v>1551</v>
      </c>
      <c r="D191" s="895" t="str">
        <f>IF('MODELLO DOGANE'!P84&lt;&gt;"",'MODELLO DOGANE'!P84,"")</f>
        <v/>
      </c>
      <c r="E191" s="763" t="s">
        <v>1547</v>
      </c>
      <c r="F191" s="785" t="s">
        <v>1548</v>
      </c>
    </row>
    <row r="192" spans="1:6" x14ac:dyDescent="0.25">
      <c r="A192" s="864" t="s">
        <v>459</v>
      </c>
      <c r="B192" s="926" t="s">
        <v>470</v>
      </c>
      <c r="C192" s="784" t="s">
        <v>1551</v>
      </c>
      <c r="D192" s="895" t="str">
        <f>IF('MODELLO DOGANE'!P85&lt;&gt;"",'MODELLO DOGANE'!P85,"")</f>
        <v/>
      </c>
      <c r="E192" s="763" t="s">
        <v>1547</v>
      </c>
      <c r="F192" s="785" t="s">
        <v>1548</v>
      </c>
    </row>
    <row r="193" spans="1:6" x14ac:dyDescent="0.25">
      <c r="A193" s="864" t="s">
        <v>459</v>
      </c>
      <c r="B193" s="926" t="s">
        <v>470</v>
      </c>
      <c r="C193" s="784" t="s">
        <v>1551</v>
      </c>
      <c r="D193" s="895" t="str">
        <f>IF('MODELLO DOGANE'!P86&lt;&gt;"",'MODELLO DOGANE'!P86,"")</f>
        <v/>
      </c>
      <c r="E193" s="763" t="s">
        <v>1547</v>
      </c>
      <c r="F193" s="785" t="s">
        <v>1548</v>
      </c>
    </row>
    <row r="194" spans="1:6" x14ac:dyDescent="0.25">
      <c r="A194" s="864" t="s">
        <v>459</v>
      </c>
      <c r="B194" s="926" t="str">
        <f>'MODELLO DOGANE'!R80</f>
        <v>errore %</v>
      </c>
      <c r="C194" s="784" t="s">
        <v>1552</v>
      </c>
      <c r="D194" s="895" t="str">
        <f>IF('MODELLO DOGANE'!R81&lt;&gt;"",'MODELLO DOGANE'!R81,"")</f>
        <v>1,05</v>
      </c>
      <c r="E194" s="763" t="s">
        <v>1553</v>
      </c>
      <c r="F194" s="785" t="s">
        <v>1548</v>
      </c>
    </row>
    <row r="195" spans="1:6" x14ac:dyDescent="0.25">
      <c r="A195" s="864" t="s">
        <v>459</v>
      </c>
      <c r="B195" s="926" t="s">
        <v>471</v>
      </c>
      <c r="C195" s="784" t="s">
        <v>1552</v>
      </c>
      <c r="D195" s="895" t="str">
        <f>IF('MODELLO DOGANE'!R82&lt;&gt;"",'MODELLO DOGANE'!R82,"")</f>
        <v>1,05</v>
      </c>
      <c r="E195" s="763" t="s">
        <v>1553</v>
      </c>
      <c r="F195" s="785" t="s">
        <v>1548</v>
      </c>
    </row>
    <row r="196" spans="1:6" x14ac:dyDescent="0.25">
      <c r="A196" s="864" t="s">
        <v>459</v>
      </c>
      <c r="B196" s="926" t="s">
        <v>471</v>
      </c>
      <c r="C196" s="784" t="s">
        <v>1552</v>
      </c>
      <c r="D196" s="895" t="str">
        <f>IF('MODELLO DOGANE'!R83&lt;&gt;"",'MODELLO DOGANE'!R83,"")</f>
        <v>1,05</v>
      </c>
      <c r="E196" s="763" t="s">
        <v>1553</v>
      </c>
      <c r="F196" s="785" t="s">
        <v>1548</v>
      </c>
    </row>
    <row r="197" spans="1:6" x14ac:dyDescent="0.25">
      <c r="A197" s="864" t="s">
        <v>459</v>
      </c>
      <c r="B197" s="926" t="s">
        <v>471</v>
      </c>
      <c r="C197" s="784" t="s">
        <v>1552</v>
      </c>
      <c r="D197" s="895" t="str">
        <f>IF('MODELLO DOGANE'!R84&lt;&gt;"",'MODELLO DOGANE'!R84,"")</f>
        <v>1,05</v>
      </c>
      <c r="E197" s="763" t="s">
        <v>1553</v>
      </c>
      <c r="F197" s="785" t="s">
        <v>1548</v>
      </c>
    </row>
    <row r="198" spans="1:6" x14ac:dyDescent="0.25">
      <c r="A198" s="864" t="s">
        <v>459</v>
      </c>
      <c r="B198" s="926" t="s">
        <v>471</v>
      </c>
      <c r="C198" s="784" t="s">
        <v>1552</v>
      </c>
      <c r="D198" s="895" t="str">
        <f>IF('MODELLO DOGANE'!R85&lt;&gt;"",'MODELLO DOGANE'!R85,"")</f>
        <v>1,05</v>
      </c>
      <c r="E198" s="763" t="s">
        <v>1553</v>
      </c>
      <c r="F198" s="785" t="s">
        <v>1548</v>
      </c>
    </row>
    <row r="199" spans="1:6" x14ac:dyDescent="0.25">
      <c r="A199" s="864" t="s">
        <v>459</v>
      </c>
      <c r="B199" s="926" t="s">
        <v>471</v>
      </c>
      <c r="C199" s="784" t="s">
        <v>1552</v>
      </c>
      <c r="D199" s="895" t="str">
        <f>IF('MODELLO DOGANE'!R86&lt;&gt;"",'MODELLO DOGANE'!R86,"")</f>
        <v>1,05</v>
      </c>
      <c r="E199" s="763" t="s">
        <v>1553</v>
      </c>
      <c r="F199" s="785" t="s">
        <v>1548</v>
      </c>
    </row>
    <row r="200" spans="1:6" ht="15.75" thickBot="1" x14ac:dyDescent="0.3">
      <c r="A200" s="867" t="s">
        <v>459</v>
      </c>
      <c r="B200" s="952" t="s">
        <v>1554</v>
      </c>
      <c r="C200" s="868" t="s">
        <v>1555</v>
      </c>
      <c r="D200" s="907">
        <f>6-COUNTBLANK('MODELLO DOGANE'!D81:D86)</f>
        <v>6</v>
      </c>
      <c r="E200" s="869" t="s">
        <v>1506</v>
      </c>
      <c r="F200" s="870"/>
    </row>
    <row r="201" spans="1:6" x14ac:dyDescent="0.25">
      <c r="A201" s="768" t="s">
        <v>1556</v>
      </c>
      <c r="B201" s="920" t="str">
        <f>'MODELLO DOGANE'!T79</f>
        <v>ora inizio verifica:</v>
      </c>
      <c r="C201" s="848" t="s">
        <v>1557</v>
      </c>
      <c r="D201" s="958">
        <f>'MODELLO DOGANE'!T82</f>
        <v>0.40902777777777777</v>
      </c>
      <c r="E201" s="810" t="s">
        <v>1364</v>
      </c>
      <c r="F201" s="871"/>
    </row>
    <row r="202" spans="1:6" ht="15.75" thickBot="1" x14ac:dyDescent="0.3">
      <c r="A202" s="776" t="s">
        <v>1556</v>
      </c>
      <c r="B202" s="922" t="str">
        <f>'MODELLO DOGANE'!T83</f>
        <v>ora fine verifica:</v>
      </c>
      <c r="C202" s="872" t="s">
        <v>1558</v>
      </c>
      <c r="D202" s="959">
        <f>'MODELLO DOGANE'!T86</f>
        <v>0.42708333333333331</v>
      </c>
      <c r="E202" s="836" t="s">
        <v>1364</v>
      </c>
      <c r="F202" s="837"/>
    </row>
    <row r="203" spans="1:6" x14ac:dyDescent="0.25">
      <c r="A203" s="873" t="s">
        <v>1559</v>
      </c>
      <c r="B203" s="944" t="s">
        <v>1522</v>
      </c>
      <c r="C203" s="874" t="s">
        <v>1560</v>
      </c>
      <c r="D203" s="953" t="s">
        <v>61</v>
      </c>
      <c r="E203" s="840" t="s">
        <v>61</v>
      </c>
      <c r="F203" s="875" t="s">
        <v>1408</v>
      </c>
    </row>
    <row r="204" spans="1:6" x14ac:dyDescent="0.25">
      <c r="A204" s="804" t="s">
        <v>1559</v>
      </c>
      <c r="B204" s="936" t="str">
        <f>'MODELLO DOGANE'!B88</f>
        <v>Tensione di misura</v>
      </c>
      <c r="C204" s="876" t="s">
        <v>1524</v>
      </c>
      <c r="D204" s="907">
        <f>'MODELLO DOGANE'!G88</f>
        <v>99.9</v>
      </c>
      <c r="E204" s="869" t="s">
        <v>1525</v>
      </c>
      <c r="F204" s="877"/>
    </row>
    <row r="205" spans="1:6" x14ac:dyDescent="0.25">
      <c r="A205" s="800" t="s">
        <v>1559</v>
      </c>
      <c r="B205" s="934" t="s">
        <v>1526</v>
      </c>
      <c r="C205" s="801" t="s">
        <v>1561</v>
      </c>
      <c r="D205" s="954"/>
      <c r="E205" s="802" t="s">
        <v>61</v>
      </c>
      <c r="F205" s="785" t="s">
        <v>1408</v>
      </c>
    </row>
    <row r="206" spans="1:6" x14ac:dyDescent="0.25">
      <c r="A206" s="800" t="s">
        <v>1559</v>
      </c>
      <c r="B206" s="926" t="s">
        <v>1528</v>
      </c>
      <c r="C206" s="874" t="s">
        <v>1529</v>
      </c>
      <c r="D206" s="905"/>
      <c r="E206" s="840" t="s">
        <v>1525</v>
      </c>
      <c r="F206" s="875"/>
    </row>
    <row r="207" spans="1:6" x14ac:dyDescent="0.25">
      <c r="A207" s="800" t="s">
        <v>1559</v>
      </c>
      <c r="B207" s="934" t="s">
        <v>1530</v>
      </c>
      <c r="C207" s="801" t="s">
        <v>1562</v>
      </c>
      <c r="D207" s="954" t="s">
        <v>61</v>
      </c>
      <c r="E207" s="802" t="s">
        <v>61</v>
      </c>
      <c r="F207" s="785" t="s">
        <v>1408</v>
      </c>
    </row>
    <row r="208" spans="1:6" x14ac:dyDescent="0.25">
      <c r="A208" s="800" t="s">
        <v>1559</v>
      </c>
      <c r="B208" s="926" t="s">
        <v>1528</v>
      </c>
      <c r="C208" s="784" t="s">
        <v>1532</v>
      </c>
      <c r="D208" s="895">
        <f>'MODELLO DOGANE'!O88</f>
        <v>99.9</v>
      </c>
      <c r="E208" s="840" t="s">
        <v>1525</v>
      </c>
      <c r="F208" s="785"/>
    </row>
    <row r="209" spans="1:6" ht="45.75" thickBot="1" x14ac:dyDescent="0.3">
      <c r="A209" s="843" t="s">
        <v>1559</v>
      </c>
      <c r="B209" s="927" t="str">
        <f>'MODELLO DOGANE'!B90</f>
        <v>Fornita da:</v>
      </c>
      <c r="C209" s="766" t="s">
        <v>1563</v>
      </c>
      <c r="D209" s="914" t="s">
        <v>534</v>
      </c>
      <c r="E209" s="767" t="s">
        <v>1664</v>
      </c>
      <c r="F209" s="859" t="s">
        <v>1651</v>
      </c>
    </row>
    <row r="210" spans="1:6" ht="60.75" thickBot="1" x14ac:dyDescent="0.3">
      <c r="A210" s="860" t="s">
        <v>1564</v>
      </c>
      <c r="B210" s="935" t="str">
        <f>'MODELLO DOGANE'!L90</f>
        <v>L'errore globale è stato</v>
      </c>
      <c r="C210" s="861" t="s">
        <v>1565</v>
      </c>
      <c r="D210" s="962" t="s">
        <v>1652</v>
      </c>
      <c r="E210" s="862" t="s">
        <v>1649</v>
      </c>
      <c r="F210" s="863" t="s">
        <v>1651</v>
      </c>
    </row>
    <row r="211" spans="1:6" x14ac:dyDescent="0.25">
      <c r="A211" s="779" t="s">
        <v>364</v>
      </c>
      <c r="B211" s="925" t="str">
        <f>'MODELLO DOGANE'!B93</f>
        <v>n°</v>
      </c>
      <c r="C211" s="780" t="s">
        <v>1566</v>
      </c>
      <c r="D211" s="898">
        <f>'MODELLO DOGANE'!B94</f>
        <v>1</v>
      </c>
      <c r="E211" s="781" t="s">
        <v>1662</v>
      </c>
      <c r="F211" s="782"/>
    </row>
    <row r="212" spans="1:6" x14ac:dyDescent="0.25">
      <c r="A212" s="786" t="s">
        <v>364</v>
      </c>
      <c r="B212" s="934" t="s">
        <v>465</v>
      </c>
      <c r="C212" s="801" t="s">
        <v>1566</v>
      </c>
      <c r="D212" s="900">
        <f>'MODELLO DOGANE'!B95</f>
        <v>2</v>
      </c>
      <c r="E212" s="878" t="s">
        <v>1662</v>
      </c>
      <c r="F212" s="761"/>
    </row>
    <row r="213" spans="1:6" x14ac:dyDescent="0.25">
      <c r="A213" s="786" t="s">
        <v>364</v>
      </c>
      <c r="B213" s="934" t="s">
        <v>465</v>
      </c>
      <c r="C213" s="801" t="s">
        <v>1566</v>
      </c>
      <c r="D213" s="905">
        <f>'MODELLO DOGANE'!B96</f>
        <v>3</v>
      </c>
      <c r="E213" s="878" t="s">
        <v>1662</v>
      </c>
      <c r="F213" s="761"/>
    </row>
    <row r="214" spans="1:6" x14ac:dyDescent="0.25">
      <c r="A214" s="786" t="s">
        <v>364</v>
      </c>
      <c r="B214" s="934" t="s">
        <v>465</v>
      </c>
      <c r="C214" s="801" t="s">
        <v>1566</v>
      </c>
      <c r="D214" s="895">
        <f>'MODELLO DOGANE'!B97</f>
        <v>4</v>
      </c>
      <c r="E214" s="878" t="s">
        <v>1662</v>
      </c>
      <c r="F214" s="761"/>
    </row>
    <row r="215" spans="1:6" x14ac:dyDescent="0.25">
      <c r="A215" s="786" t="s">
        <v>364</v>
      </c>
      <c r="B215" s="934" t="s">
        <v>465</v>
      </c>
      <c r="C215" s="801" t="s">
        <v>1566</v>
      </c>
      <c r="D215" s="895">
        <f>'MODELLO DOGANE'!B98</f>
        <v>5</v>
      </c>
      <c r="E215" s="878" t="s">
        <v>1662</v>
      </c>
      <c r="F215" s="761"/>
    </row>
    <row r="216" spans="1:6" x14ac:dyDescent="0.25">
      <c r="A216" s="786" t="s">
        <v>364</v>
      </c>
      <c r="B216" s="934" t="s">
        <v>465</v>
      </c>
      <c r="C216" s="801" t="s">
        <v>1566</v>
      </c>
      <c r="D216" s="895">
        <f>'MODELLO DOGANE'!B99</f>
        <v>6</v>
      </c>
      <c r="E216" s="878" t="s">
        <v>1662</v>
      </c>
      <c r="F216" s="761"/>
    </row>
    <row r="217" spans="1:6" x14ac:dyDescent="0.25">
      <c r="A217" s="786" t="s">
        <v>364</v>
      </c>
      <c r="B217" s="934" t="s">
        <v>465</v>
      </c>
      <c r="C217" s="801" t="s">
        <v>1566</v>
      </c>
      <c r="D217" s="895">
        <f>'MODELLO DOGANE'!B100</f>
        <v>7</v>
      </c>
      <c r="E217" s="878" t="s">
        <v>1662</v>
      </c>
      <c r="F217" s="761"/>
    </row>
    <row r="218" spans="1:6" x14ac:dyDescent="0.25">
      <c r="A218" s="786" t="s">
        <v>364</v>
      </c>
      <c r="B218" s="934" t="s">
        <v>465</v>
      </c>
      <c r="C218" s="801" t="s">
        <v>1566</v>
      </c>
      <c r="D218" s="895"/>
      <c r="E218" s="878" t="s">
        <v>1662</v>
      </c>
      <c r="F218" s="761"/>
    </row>
    <row r="219" spans="1:6" x14ac:dyDescent="0.25">
      <c r="A219" s="786" t="s">
        <v>364</v>
      </c>
      <c r="B219" s="934" t="s">
        <v>465</v>
      </c>
      <c r="C219" s="801" t="s">
        <v>1566</v>
      </c>
      <c r="D219" s="895">
        <v>8</v>
      </c>
      <c r="E219" s="878" t="s">
        <v>1662</v>
      </c>
      <c r="F219" s="761"/>
    </row>
    <row r="220" spans="1:6" x14ac:dyDescent="0.25">
      <c r="A220" s="786" t="s">
        <v>364</v>
      </c>
      <c r="B220" s="926" t="str">
        <f>'MODELLO DOGANE'!D93</f>
        <v>fasi</v>
      </c>
      <c r="C220" s="784" t="s">
        <v>1567</v>
      </c>
      <c r="D220" s="895" t="str">
        <f>'MODELLO DOGANE'!D94</f>
        <v>R-S-T</v>
      </c>
      <c r="E220" s="763" t="s">
        <v>1436</v>
      </c>
      <c r="F220" s="761"/>
    </row>
    <row r="221" spans="1:6" x14ac:dyDescent="0.25">
      <c r="A221" s="786" t="s">
        <v>364</v>
      </c>
      <c r="B221" s="926" t="s">
        <v>473</v>
      </c>
      <c r="C221" s="784" t="s">
        <v>1567</v>
      </c>
      <c r="D221" s="895" t="str">
        <f>'MODELLO DOGANE'!D95</f>
        <v>R-S-T</v>
      </c>
      <c r="E221" s="763" t="s">
        <v>1436</v>
      </c>
      <c r="F221" s="761"/>
    </row>
    <row r="222" spans="1:6" x14ac:dyDescent="0.25">
      <c r="A222" s="786" t="s">
        <v>364</v>
      </c>
      <c r="B222" s="926" t="s">
        <v>473</v>
      </c>
      <c r="C222" s="784" t="s">
        <v>1567</v>
      </c>
      <c r="D222" s="895" t="str">
        <f>'MODELLO DOGANE'!D96</f>
        <v>R-S-T</v>
      </c>
      <c r="E222" s="763" t="s">
        <v>1436</v>
      </c>
      <c r="F222" s="761"/>
    </row>
    <row r="223" spans="1:6" x14ac:dyDescent="0.25">
      <c r="A223" s="786" t="s">
        <v>364</v>
      </c>
      <c r="B223" s="926" t="s">
        <v>473</v>
      </c>
      <c r="C223" s="784" t="s">
        <v>1567</v>
      </c>
      <c r="D223" s="895" t="str">
        <f>'MODELLO DOGANE'!D97</f>
        <v>R-S-T</v>
      </c>
      <c r="E223" s="763" t="s">
        <v>1436</v>
      </c>
      <c r="F223" s="761"/>
    </row>
    <row r="224" spans="1:6" x14ac:dyDescent="0.25">
      <c r="A224" s="786" t="s">
        <v>364</v>
      </c>
      <c r="B224" s="926" t="s">
        <v>473</v>
      </c>
      <c r="C224" s="784" t="s">
        <v>1567</v>
      </c>
      <c r="D224" s="895" t="str">
        <f>'MODELLO DOGANE'!D98</f>
        <v>R-S-T</v>
      </c>
      <c r="E224" s="763" t="s">
        <v>1436</v>
      </c>
      <c r="F224" s="761"/>
    </row>
    <row r="225" spans="1:6" x14ac:dyDescent="0.25">
      <c r="A225" s="786" t="s">
        <v>364</v>
      </c>
      <c r="B225" s="926" t="s">
        <v>473</v>
      </c>
      <c r="C225" s="784" t="s">
        <v>1567</v>
      </c>
      <c r="D225" s="895" t="str">
        <f>'MODELLO DOGANE'!D99</f>
        <v>R-S-T</v>
      </c>
      <c r="E225" s="763" t="s">
        <v>1436</v>
      </c>
      <c r="F225" s="761"/>
    </row>
    <row r="226" spans="1:6" x14ac:dyDescent="0.25">
      <c r="A226" s="786" t="s">
        <v>364</v>
      </c>
      <c r="B226" s="926" t="s">
        <v>473</v>
      </c>
      <c r="C226" s="784" t="s">
        <v>1567</v>
      </c>
      <c r="D226" s="763" t="s">
        <v>1766</v>
      </c>
      <c r="E226" s="763" t="s">
        <v>1436</v>
      </c>
      <c r="F226" s="761"/>
    </row>
    <row r="227" spans="1:6" x14ac:dyDescent="0.25">
      <c r="A227" s="786" t="s">
        <v>364</v>
      </c>
      <c r="B227" s="926" t="s">
        <v>473</v>
      </c>
      <c r="C227" s="784" t="s">
        <v>1567</v>
      </c>
      <c r="D227" s="763"/>
      <c r="E227" s="763" t="s">
        <v>1436</v>
      </c>
      <c r="F227" s="761"/>
    </row>
    <row r="228" spans="1:6" x14ac:dyDescent="0.25">
      <c r="A228" s="786" t="s">
        <v>364</v>
      </c>
      <c r="B228" s="926" t="s">
        <v>473</v>
      </c>
      <c r="C228" s="784" t="s">
        <v>1567</v>
      </c>
      <c r="D228" s="763" t="s">
        <v>1767</v>
      </c>
      <c r="E228" s="763" t="s">
        <v>1436</v>
      </c>
      <c r="F228" s="761"/>
    </row>
    <row r="229" spans="1:6" x14ac:dyDescent="0.25">
      <c r="A229" s="786" t="s">
        <v>364</v>
      </c>
      <c r="B229" s="926" t="str">
        <f>'MODELLO DOGANE'!F93</f>
        <v>In %</v>
      </c>
      <c r="C229" s="784" t="s">
        <v>1568</v>
      </c>
      <c r="D229" s="951">
        <v>5</v>
      </c>
      <c r="E229" s="763" t="s">
        <v>1537</v>
      </c>
      <c r="F229" s="785" t="s">
        <v>1538</v>
      </c>
    </row>
    <row r="230" spans="1:6" x14ac:dyDescent="0.25">
      <c r="A230" s="786" t="s">
        <v>364</v>
      </c>
      <c r="B230" s="926" t="s">
        <v>466</v>
      </c>
      <c r="C230" s="784" t="s">
        <v>1568</v>
      </c>
      <c r="D230" s="951">
        <v>5</v>
      </c>
      <c r="E230" s="763" t="s">
        <v>1537</v>
      </c>
      <c r="F230" s="785" t="s">
        <v>1538</v>
      </c>
    </row>
    <row r="231" spans="1:6" x14ac:dyDescent="0.25">
      <c r="A231" s="786" t="s">
        <v>364</v>
      </c>
      <c r="B231" s="926" t="s">
        <v>466</v>
      </c>
      <c r="C231" s="784" t="s">
        <v>1568</v>
      </c>
      <c r="D231" s="951">
        <v>20</v>
      </c>
      <c r="E231" s="763" t="s">
        <v>1537</v>
      </c>
      <c r="F231" s="785" t="s">
        <v>1538</v>
      </c>
    </row>
    <row r="232" spans="1:6" x14ac:dyDescent="0.25">
      <c r="A232" s="786" t="s">
        <v>364</v>
      </c>
      <c r="B232" s="926" t="s">
        <v>466</v>
      </c>
      <c r="C232" s="784" t="s">
        <v>1568</v>
      </c>
      <c r="D232" s="951">
        <v>20</v>
      </c>
      <c r="E232" s="763" t="s">
        <v>1537</v>
      </c>
      <c r="F232" s="785" t="s">
        <v>1538</v>
      </c>
    </row>
    <row r="233" spans="1:6" x14ac:dyDescent="0.25">
      <c r="A233" s="786" t="s">
        <v>364</v>
      </c>
      <c r="B233" s="926" t="s">
        <v>466</v>
      </c>
      <c r="C233" s="784" t="s">
        <v>1568</v>
      </c>
      <c r="D233" s="951">
        <v>100</v>
      </c>
      <c r="E233" s="763" t="s">
        <v>1537</v>
      </c>
      <c r="F233" s="785" t="s">
        <v>1538</v>
      </c>
    </row>
    <row r="234" spans="1:6" x14ac:dyDescent="0.25">
      <c r="A234" s="786" t="s">
        <v>364</v>
      </c>
      <c r="B234" s="926" t="s">
        <v>466</v>
      </c>
      <c r="C234" s="784" t="s">
        <v>1568</v>
      </c>
      <c r="D234" s="951">
        <v>100</v>
      </c>
      <c r="E234" s="763" t="s">
        <v>1537</v>
      </c>
      <c r="F234" s="785" t="s">
        <v>1538</v>
      </c>
    </row>
    <row r="235" spans="1:6" x14ac:dyDescent="0.25">
      <c r="A235" s="786" t="s">
        <v>364</v>
      </c>
      <c r="B235" s="926" t="s">
        <v>466</v>
      </c>
      <c r="C235" s="784" t="s">
        <v>1568</v>
      </c>
      <c r="D235" s="951">
        <v>100</v>
      </c>
      <c r="E235" s="763" t="s">
        <v>1537</v>
      </c>
      <c r="F235" s="785" t="s">
        <v>1538</v>
      </c>
    </row>
    <row r="236" spans="1:6" x14ac:dyDescent="0.25">
      <c r="A236" s="786" t="s">
        <v>364</v>
      </c>
      <c r="B236" s="926" t="s">
        <v>466</v>
      </c>
      <c r="C236" s="784" t="s">
        <v>1568</v>
      </c>
      <c r="D236" s="951"/>
      <c r="E236" s="763" t="s">
        <v>1537</v>
      </c>
      <c r="F236" s="785" t="s">
        <v>1538</v>
      </c>
    </row>
    <row r="237" spans="1:6" x14ac:dyDescent="0.25">
      <c r="A237" s="786" t="s">
        <v>364</v>
      </c>
      <c r="B237" s="926" t="s">
        <v>466</v>
      </c>
      <c r="C237" s="784" t="s">
        <v>1568</v>
      </c>
      <c r="D237" s="951">
        <v>100</v>
      </c>
      <c r="E237" s="763" t="s">
        <v>1537</v>
      </c>
      <c r="F237" s="785" t="s">
        <v>1538</v>
      </c>
    </row>
    <row r="238" spans="1:6" ht="60" x14ac:dyDescent="0.25">
      <c r="A238" s="786" t="s">
        <v>364</v>
      </c>
      <c r="B238" s="926" t="s">
        <v>1569</v>
      </c>
      <c r="C238" s="784" t="s">
        <v>1570</v>
      </c>
      <c r="D238" s="911" t="s">
        <v>29</v>
      </c>
      <c r="E238" s="763" t="s">
        <v>1663</v>
      </c>
      <c r="F238" s="785" t="s">
        <v>1541</v>
      </c>
    </row>
    <row r="239" spans="1:6" ht="60" x14ac:dyDescent="0.25">
      <c r="A239" s="786" t="s">
        <v>364</v>
      </c>
      <c r="B239" s="926" t="s">
        <v>1569</v>
      </c>
      <c r="C239" s="784" t="s">
        <v>1570</v>
      </c>
      <c r="D239" s="911" t="s">
        <v>13</v>
      </c>
      <c r="E239" s="763" t="s">
        <v>1663</v>
      </c>
      <c r="F239" s="785" t="s">
        <v>1541</v>
      </c>
    </row>
    <row r="240" spans="1:6" ht="60" x14ac:dyDescent="0.25">
      <c r="A240" s="786" t="s">
        <v>364</v>
      </c>
      <c r="B240" s="926" t="s">
        <v>1569</v>
      </c>
      <c r="C240" s="784" t="s">
        <v>1570</v>
      </c>
      <c r="D240" s="911" t="s">
        <v>720</v>
      </c>
      <c r="E240" s="763" t="s">
        <v>1663</v>
      </c>
      <c r="F240" s="785" t="s">
        <v>1541</v>
      </c>
    </row>
    <row r="241" spans="1:6" ht="60" x14ac:dyDescent="0.25">
      <c r="A241" s="786" t="s">
        <v>364</v>
      </c>
      <c r="B241" s="926" t="s">
        <v>1569</v>
      </c>
      <c r="C241" s="784" t="s">
        <v>1570</v>
      </c>
      <c r="D241" s="911" t="s">
        <v>29</v>
      </c>
      <c r="E241" s="763" t="s">
        <v>1663</v>
      </c>
      <c r="F241" s="785" t="s">
        <v>1541</v>
      </c>
    </row>
    <row r="242" spans="1:6" ht="60" x14ac:dyDescent="0.25">
      <c r="A242" s="786" t="s">
        <v>364</v>
      </c>
      <c r="B242" s="926" t="s">
        <v>1569</v>
      </c>
      <c r="C242" s="784" t="s">
        <v>1570</v>
      </c>
      <c r="D242" s="911" t="s">
        <v>13</v>
      </c>
      <c r="E242" s="763" t="s">
        <v>1663</v>
      </c>
      <c r="F242" s="785" t="s">
        <v>1541</v>
      </c>
    </row>
    <row r="243" spans="1:6" ht="60" x14ac:dyDescent="0.25">
      <c r="A243" s="786" t="s">
        <v>364</v>
      </c>
      <c r="B243" s="926" t="s">
        <v>1569</v>
      </c>
      <c r="C243" s="784" t="s">
        <v>1570</v>
      </c>
      <c r="D243" s="911" t="s">
        <v>720</v>
      </c>
      <c r="E243" s="763" t="s">
        <v>1663</v>
      </c>
      <c r="F243" s="785" t="s">
        <v>1541</v>
      </c>
    </row>
    <row r="244" spans="1:6" ht="60" x14ac:dyDescent="0.25">
      <c r="A244" s="786" t="s">
        <v>364</v>
      </c>
      <c r="B244" s="926" t="s">
        <v>1569</v>
      </c>
      <c r="C244" s="784" t="s">
        <v>1570</v>
      </c>
      <c r="D244" s="911" t="s">
        <v>29</v>
      </c>
      <c r="E244" s="763" t="s">
        <v>1663</v>
      </c>
      <c r="F244" s="785" t="s">
        <v>1541</v>
      </c>
    </row>
    <row r="245" spans="1:6" ht="60" x14ac:dyDescent="0.25">
      <c r="A245" s="786" t="s">
        <v>364</v>
      </c>
      <c r="B245" s="926" t="s">
        <v>1569</v>
      </c>
      <c r="C245" s="784" t="s">
        <v>1570</v>
      </c>
      <c r="D245" s="911"/>
      <c r="E245" s="763" t="s">
        <v>1663</v>
      </c>
      <c r="F245" s="785" t="s">
        <v>1541</v>
      </c>
    </row>
    <row r="246" spans="1:6" ht="60" x14ac:dyDescent="0.25">
      <c r="A246" s="786" t="s">
        <v>364</v>
      </c>
      <c r="B246" s="926" t="s">
        <v>1569</v>
      </c>
      <c r="C246" s="784" t="s">
        <v>1570</v>
      </c>
      <c r="D246" s="911" t="s">
        <v>720</v>
      </c>
      <c r="E246" s="763" t="s">
        <v>1663</v>
      </c>
      <c r="F246" s="785" t="s">
        <v>1541</v>
      </c>
    </row>
    <row r="247" spans="1:6" x14ac:dyDescent="0.25">
      <c r="A247" s="786" t="s">
        <v>364</v>
      </c>
      <c r="B247" s="926" t="str">
        <f>'MODELLO DOGANE'!H93</f>
        <v>fdp</v>
      </c>
      <c r="C247" s="784" t="s">
        <v>1571</v>
      </c>
      <c r="D247" s="951">
        <v>1</v>
      </c>
      <c r="E247" s="763" t="s">
        <v>1543</v>
      </c>
      <c r="F247" s="785" t="s">
        <v>1544</v>
      </c>
    </row>
    <row r="248" spans="1:6" x14ac:dyDescent="0.25">
      <c r="A248" s="786" t="s">
        <v>364</v>
      </c>
      <c r="B248" s="926" t="s">
        <v>467</v>
      </c>
      <c r="C248" s="784" t="s">
        <v>1571</v>
      </c>
      <c r="D248" s="951">
        <v>0.5</v>
      </c>
      <c r="E248" s="763" t="s">
        <v>1543</v>
      </c>
      <c r="F248" s="785" t="s">
        <v>1544</v>
      </c>
    </row>
    <row r="249" spans="1:6" x14ac:dyDescent="0.25">
      <c r="A249" s="786" t="s">
        <v>364</v>
      </c>
      <c r="B249" s="926" t="s">
        <v>467</v>
      </c>
      <c r="C249" s="784" t="s">
        <v>1571</v>
      </c>
      <c r="D249" s="951">
        <v>1</v>
      </c>
      <c r="E249" s="763" t="s">
        <v>1543</v>
      </c>
      <c r="F249" s="785" t="s">
        <v>1544</v>
      </c>
    </row>
    <row r="250" spans="1:6" x14ac:dyDescent="0.25">
      <c r="A250" s="786" t="s">
        <v>364</v>
      </c>
      <c r="B250" s="926" t="s">
        <v>467</v>
      </c>
      <c r="C250" s="784" t="s">
        <v>1571</v>
      </c>
      <c r="D250" s="951">
        <v>0.5</v>
      </c>
      <c r="E250" s="763" t="s">
        <v>1543</v>
      </c>
      <c r="F250" s="785" t="s">
        <v>1544</v>
      </c>
    </row>
    <row r="251" spans="1:6" x14ac:dyDescent="0.25">
      <c r="A251" s="786" t="s">
        <v>364</v>
      </c>
      <c r="B251" s="926" t="s">
        <v>467</v>
      </c>
      <c r="C251" s="784" t="s">
        <v>1571</v>
      </c>
      <c r="D251" s="951">
        <v>1</v>
      </c>
      <c r="E251" s="763" t="s">
        <v>1543</v>
      </c>
      <c r="F251" s="785" t="s">
        <v>1544</v>
      </c>
    </row>
    <row r="252" spans="1:6" x14ac:dyDescent="0.25">
      <c r="A252" s="786" t="s">
        <v>364</v>
      </c>
      <c r="B252" s="926" t="s">
        <v>467</v>
      </c>
      <c r="C252" s="784" t="s">
        <v>1571</v>
      </c>
      <c r="D252" s="951">
        <v>0.5</v>
      </c>
      <c r="E252" s="763" t="s">
        <v>1543</v>
      </c>
      <c r="F252" s="785" t="s">
        <v>1544</v>
      </c>
    </row>
    <row r="253" spans="1:6" x14ac:dyDescent="0.25">
      <c r="A253" s="786" t="s">
        <v>364</v>
      </c>
      <c r="B253" s="926" t="s">
        <v>467</v>
      </c>
      <c r="C253" s="784" t="s">
        <v>1571</v>
      </c>
      <c r="D253" s="951">
        <v>1</v>
      </c>
      <c r="E253" s="763" t="s">
        <v>1543</v>
      </c>
      <c r="F253" s="785" t="s">
        <v>1544</v>
      </c>
    </row>
    <row r="254" spans="1:6" x14ac:dyDescent="0.25">
      <c r="A254" s="786" t="s">
        <v>364</v>
      </c>
      <c r="B254" s="926" t="s">
        <v>467</v>
      </c>
      <c r="C254" s="784" t="s">
        <v>1571</v>
      </c>
      <c r="D254" s="951"/>
      <c r="E254" s="763" t="s">
        <v>1543</v>
      </c>
      <c r="F254" s="785" t="s">
        <v>1544</v>
      </c>
    </row>
    <row r="255" spans="1:6" x14ac:dyDescent="0.25">
      <c r="A255" s="786" t="s">
        <v>364</v>
      </c>
      <c r="B255" s="926" t="s">
        <v>467</v>
      </c>
      <c r="C255" s="784" t="s">
        <v>1571</v>
      </c>
      <c r="D255" s="951">
        <v>1</v>
      </c>
      <c r="E255" s="763" t="s">
        <v>1543</v>
      </c>
      <c r="F255" s="785" t="s">
        <v>1544</v>
      </c>
    </row>
    <row r="256" spans="1:6" x14ac:dyDescent="0.25">
      <c r="A256" s="786" t="s">
        <v>364</v>
      </c>
      <c r="B256" s="926" t="str">
        <f>'MODELLO DOGANE'!J93</f>
        <v>A+</v>
      </c>
      <c r="C256" s="784" t="s">
        <v>1572</v>
      </c>
      <c r="D256" s="895" t="str">
        <f>IF('MODELLO DOGANE'!J94&lt;&gt;"",'MODELLO DOGANE'!J94,"")</f>
        <v>+0,01</v>
      </c>
      <c r="E256" s="763" t="s">
        <v>1547</v>
      </c>
      <c r="F256" s="785" t="s">
        <v>1548</v>
      </c>
    </row>
    <row r="257" spans="1:6" x14ac:dyDescent="0.25">
      <c r="A257" s="786" t="s">
        <v>364</v>
      </c>
      <c r="B257" s="926" t="s">
        <v>469</v>
      </c>
      <c r="C257" s="784" t="s">
        <v>1572</v>
      </c>
      <c r="D257" s="895" t="str">
        <f>IF('MODELLO DOGANE'!J95&lt;&gt;"",'MODELLO DOGANE'!J95,"")</f>
        <v>+0,02</v>
      </c>
      <c r="E257" s="763" t="s">
        <v>1547</v>
      </c>
      <c r="F257" s="785" t="s">
        <v>1548</v>
      </c>
    </row>
    <row r="258" spans="1:6" x14ac:dyDescent="0.25">
      <c r="A258" s="786" t="s">
        <v>364</v>
      </c>
      <c r="B258" s="926" t="s">
        <v>469</v>
      </c>
      <c r="C258" s="784" t="s">
        <v>1572</v>
      </c>
      <c r="D258" s="895" t="str">
        <f>IF('MODELLO DOGANE'!J96&lt;&gt;"",'MODELLO DOGANE'!J96,"")</f>
        <v>+0,03</v>
      </c>
      <c r="E258" s="763" t="s">
        <v>1547</v>
      </c>
      <c r="F258" s="785" t="s">
        <v>1548</v>
      </c>
    </row>
    <row r="259" spans="1:6" x14ac:dyDescent="0.25">
      <c r="A259" s="786" t="s">
        <v>364</v>
      </c>
      <c r="B259" s="926" t="s">
        <v>469</v>
      </c>
      <c r="C259" s="784" t="s">
        <v>1572</v>
      </c>
      <c r="D259" s="895" t="str">
        <f>IF('MODELLO DOGANE'!J97&lt;&gt;"",'MODELLO DOGANE'!J97,"")</f>
        <v>+0,04</v>
      </c>
      <c r="E259" s="763" t="s">
        <v>1547</v>
      </c>
      <c r="F259" s="785" t="s">
        <v>1548</v>
      </c>
    </row>
    <row r="260" spans="1:6" x14ac:dyDescent="0.25">
      <c r="A260" s="786" t="s">
        <v>364</v>
      </c>
      <c r="B260" s="926" t="s">
        <v>469</v>
      </c>
      <c r="C260" s="784" t="s">
        <v>1572</v>
      </c>
      <c r="D260" s="895" t="str">
        <f>IF('MODELLO DOGANE'!J98&lt;&gt;"",'MODELLO DOGANE'!J98,"")</f>
        <v>+0,05</v>
      </c>
      <c r="E260" s="763" t="s">
        <v>1547</v>
      </c>
      <c r="F260" s="785" t="s">
        <v>1548</v>
      </c>
    </row>
    <row r="261" spans="1:6" x14ac:dyDescent="0.25">
      <c r="A261" s="786" t="s">
        <v>364</v>
      </c>
      <c r="B261" s="926" t="s">
        <v>469</v>
      </c>
      <c r="C261" s="784" t="s">
        <v>1572</v>
      </c>
      <c r="D261" s="895" t="str">
        <f>IF('MODELLO DOGANE'!J99&lt;&gt;"",'MODELLO DOGANE'!J99,"")</f>
        <v>+0,06</v>
      </c>
      <c r="E261" s="763" t="s">
        <v>1547</v>
      </c>
      <c r="F261" s="785" t="s">
        <v>1548</v>
      </c>
    </row>
    <row r="262" spans="1:6" x14ac:dyDescent="0.25">
      <c r="A262" s="786" t="s">
        <v>364</v>
      </c>
      <c r="B262" s="926" t="s">
        <v>469</v>
      </c>
      <c r="C262" s="784" t="s">
        <v>1572</v>
      </c>
      <c r="D262" s="895" t="str">
        <f>IF('MODELLO DOGANE'!J100&lt;&gt;"",'MODELLO DOGANE'!J100,"")</f>
        <v>+0,07</v>
      </c>
      <c r="E262" s="763" t="s">
        <v>1547</v>
      </c>
      <c r="F262" s="785" t="s">
        <v>1548</v>
      </c>
    </row>
    <row r="263" spans="1:6" x14ac:dyDescent="0.25">
      <c r="A263" s="786" t="s">
        <v>364</v>
      </c>
      <c r="B263" s="926" t="s">
        <v>469</v>
      </c>
      <c r="C263" s="784" t="s">
        <v>1572</v>
      </c>
      <c r="D263" s="895"/>
      <c r="E263" s="763" t="s">
        <v>1547</v>
      </c>
      <c r="F263" s="785" t="s">
        <v>1548</v>
      </c>
    </row>
    <row r="264" spans="1:6" x14ac:dyDescent="0.25">
      <c r="A264" s="786" t="s">
        <v>364</v>
      </c>
      <c r="B264" s="926" t="s">
        <v>469</v>
      </c>
      <c r="C264" s="784" t="s">
        <v>1572</v>
      </c>
      <c r="D264" s="895" t="str">
        <f>IF('MODELLO DOGANE'!J102&lt;&gt;"",'MODELLO DOGANE'!J102,"")</f>
        <v>+0,09</v>
      </c>
      <c r="E264" s="763" t="s">
        <v>1547</v>
      </c>
      <c r="F264" s="785" t="s">
        <v>1548</v>
      </c>
    </row>
    <row r="265" spans="1:6" x14ac:dyDescent="0.25">
      <c r="A265" s="786" t="s">
        <v>364</v>
      </c>
      <c r="B265" s="926" t="str">
        <f>'MODELLO DOGANE'!L93</f>
        <v>A-</v>
      </c>
      <c r="C265" s="784" t="s">
        <v>1573</v>
      </c>
      <c r="D265" s="895" t="str">
        <f>IF('MODELLO DOGANE'!L94&lt;&gt;"",'MODELLO DOGANE'!L94,"")</f>
        <v>+0,10</v>
      </c>
      <c r="E265" s="763" t="s">
        <v>1547</v>
      </c>
      <c r="F265" s="785" t="s">
        <v>1548</v>
      </c>
    </row>
    <row r="266" spans="1:6" x14ac:dyDescent="0.25">
      <c r="A266" s="786" t="s">
        <v>364</v>
      </c>
      <c r="B266" s="926" t="s">
        <v>470</v>
      </c>
      <c r="C266" s="784" t="s">
        <v>1573</v>
      </c>
      <c r="D266" s="895" t="str">
        <f>IF('MODELLO DOGANE'!L95&lt;&gt;"",'MODELLO DOGANE'!L95,"")</f>
        <v>+0,11</v>
      </c>
      <c r="E266" s="763" t="s">
        <v>1547</v>
      </c>
      <c r="F266" s="785" t="s">
        <v>1548</v>
      </c>
    </row>
    <row r="267" spans="1:6" x14ac:dyDescent="0.25">
      <c r="A267" s="786" t="s">
        <v>364</v>
      </c>
      <c r="B267" s="926" t="s">
        <v>470</v>
      </c>
      <c r="C267" s="784" t="s">
        <v>1573</v>
      </c>
      <c r="D267" s="895" t="str">
        <f>IF('MODELLO DOGANE'!L96&lt;&gt;"",'MODELLO DOGANE'!L96,"")</f>
        <v>+0,12</v>
      </c>
      <c r="E267" s="763" t="s">
        <v>1547</v>
      </c>
      <c r="F267" s="785" t="s">
        <v>1548</v>
      </c>
    </row>
    <row r="268" spans="1:6" x14ac:dyDescent="0.25">
      <c r="A268" s="786" t="s">
        <v>364</v>
      </c>
      <c r="B268" s="926" t="s">
        <v>470</v>
      </c>
      <c r="C268" s="784" t="s">
        <v>1573</v>
      </c>
      <c r="D268" s="895" t="str">
        <f>IF('MODELLO DOGANE'!L97&lt;&gt;"",'MODELLO DOGANE'!L97,"")</f>
        <v>+0,13</v>
      </c>
      <c r="E268" s="763" t="s">
        <v>1547</v>
      </c>
      <c r="F268" s="785" t="s">
        <v>1548</v>
      </c>
    </row>
    <row r="269" spans="1:6" x14ac:dyDescent="0.25">
      <c r="A269" s="786" t="s">
        <v>364</v>
      </c>
      <c r="B269" s="926" t="s">
        <v>470</v>
      </c>
      <c r="C269" s="784" t="s">
        <v>1573</v>
      </c>
      <c r="D269" s="895" t="str">
        <f>IF('MODELLO DOGANE'!L98&lt;&gt;"",'MODELLO DOGANE'!L98,"")</f>
        <v>+0,14</v>
      </c>
      <c r="E269" s="763" t="s">
        <v>1547</v>
      </c>
      <c r="F269" s="785" t="s">
        <v>1548</v>
      </c>
    </row>
    <row r="270" spans="1:6" x14ac:dyDescent="0.25">
      <c r="A270" s="786" t="s">
        <v>364</v>
      </c>
      <c r="B270" s="926" t="s">
        <v>470</v>
      </c>
      <c r="C270" s="784" t="s">
        <v>1573</v>
      </c>
      <c r="D270" s="895" t="str">
        <f>IF('MODELLO DOGANE'!L99&lt;&gt;"",'MODELLO DOGANE'!L99,"")</f>
        <v>+0,15</v>
      </c>
      <c r="E270" s="763" t="s">
        <v>1547</v>
      </c>
      <c r="F270" s="785" t="s">
        <v>1548</v>
      </c>
    </row>
    <row r="271" spans="1:6" x14ac:dyDescent="0.25">
      <c r="A271" s="786" t="s">
        <v>364</v>
      </c>
      <c r="B271" s="926" t="s">
        <v>470</v>
      </c>
      <c r="C271" s="784" t="s">
        <v>1573</v>
      </c>
      <c r="D271" s="895" t="str">
        <f>IF('MODELLO DOGANE'!L100&lt;&gt;"",'MODELLO DOGANE'!L100,"")</f>
        <v>+0,16</v>
      </c>
      <c r="E271" s="763" t="s">
        <v>1547</v>
      </c>
      <c r="F271" s="785" t="s">
        <v>1548</v>
      </c>
    </row>
    <row r="272" spans="1:6" x14ac:dyDescent="0.25">
      <c r="A272" s="786" t="s">
        <v>364</v>
      </c>
      <c r="B272" s="926" t="s">
        <v>470</v>
      </c>
      <c r="C272" s="784" t="s">
        <v>1573</v>
      </c>
      <c r="D272" s="895"/>
      <c r="E272" s="763" t="s">
        <v>1547</v>
      </c>
      <c r="F272" s="785" t="s">
        <v>1548</v>
      </c>
    </row>
    <row r="273" spans="1:6" x14ac:dyDescent="0.25">
      <c r="A273" s="786" t="s">
        <v>364</v>
      </c>
      <c r="B273" s="926" t="s">
        <v>470</v>
      </c>
      <c r="C273" s="784" t="s">
        <v>1573</v>
      </c>
      <c r="D273" s="895" t="str">
        <f>IF('MODELLO DOGANE'!L102&lt;&gt;"",'MODELLO DOGANE'!L102,"")</f>
        <v>+0,18</v>
      </c>
      <c r="E273" s="763" t="s">
        <v>1547</v>
      </c>
      <c r="F273" s="785" t="s">
        <v>1548</v>
      </c>
    </row>
    <row r="274" spans="1:6" x14ac:dyDescent="0.25">
      <c r="A274" s="786" t="s">
        <v>364</v>
      </c>
      <c r="B274" s="926" t="str">
        <f>'MODELLO DOGANE'!N93</f>
        <v>A+</v>
      </c>
      <c r="C274" s="784" t="s">
        <v>1574</v>
      </c>
      <c r="D274" s="895" t="str">
        <f>IF('MODELLO DOGANE'!N94&lt;&gt;"",'MODELLO DOGANE'!N94,"")</f>
        <v>+0,16</v>
      </c>
      <c r="E274" s="763" t="s">
        <v>1547</v>
      </c>
      <c r="F274" s="785" t="s">
        <v>1548</v>
      </c>
    </row>
    <row r="275" spans="1:6" x14ac:dyDescent="0.25">
      <c r="A275" s="786" t="s">
        <v>364</v>
      </c>
      <c r="B275" s="926" t="s">
        <v>469</v>
      </c>
      <c r="C275" s="784" t="s">
        <v>1574</v>
      </c>
      <c r="D275" s="895" t="str">
        <f>IF('MODELLO DOGANE'!N95&lt;&gt;"",'MODELLO DOGANE'!N95,"")</f>
        <v>-0,04</v>
      </c>
      <c r="E275" s="763" t="s">
        <v>1547</v>
      </c>
      <c r="F275" s="785" t="s">
        <v>1548</v>
      </c>
    </row>
    <row r="276" spans="1:6" x14ac:dyDescent="0.25">
      <c r="A276" s="786" t="s">
        <v>364</v>
      </c>
      <c r="B276" s="926" t="s">
        <v>469</v>
      </c>
      <c r="C276" s="784" t="s">
        <v>1574</v>
      </c>
      <c r="D276" s="895" t="str">
        <f>IF('MODELLO DOGANE'!N96&lt;&gt;"",'MODELLO DOGANE'!N96,"")</f>
        <v>+0,17</v>
      </c>
      <c r="E276" s="763" t="s">
        <v>1547</v>
      </c>
      <c r="F276" s="785" t="s">
        <v>1548</v>
      </c>
    </row>
    <row r="277" spans="1:6" x14ac:dyDescent="0.25">
      <c r="A277" s="786" t="s">
        <v>364</v>
      </c>
      <c r="B277" s="926" t="s">
        <v>469</v>
      </c>
      <c r="C277" s="784" t="s">
        <v>1574</v>
      </c>
      <c r="D277" s="895" t="str">
        <f>IF('MODELLO DOGANE'!N97&lt;&gt;"",'MODELLO DOGANE'!N97,"")</f>
        <v>-0,01</v>
      </c>
      <c r="E277" s="763" t="s">
        <v>1547</v>
      </c>
      <c r="F277" s="785" t="s">
        <v>1548</v>
      </c>
    </row>
    <row r="278" spans="1:6" x14ac:dyDescent="0.25">
      <c r="A278" s="786" t="s">
        <v>364</v>
      </c>
      <c r="B278" s="926" t="s">
        <v>469</v>
      </c>
      <c r="C278" s="784" t="s">
        <v>1574</v>
      </c>
      <c r="D278" s="895" t="str">
        <f>IF('MODELLO DOGANE'!N98&lt;&gt;"",'MODELLO DOGANE'!N98,"")</f>
        <v>+0,18</v>
      </c>
      <c r="E278" s="763" t="s">
        <v>1547</v>
      </c>
      <c r="F278" s="785" t="s">
        <v>1548</v>
      </c>
    </row>
    <row r="279" spans="1:6" x14ac:dyDescent="0.25">
      <c r="A279" s="786" t="s">
        <v>364</v>
      </c>
      <c r="B279" s="926" t="s">
        <v>469</v>
      </c>
      <c r="C279" s="784" t="s">
        <v>1574</v>
      </c>
      <c r="D279" s="895" t="str">
        <f>IF('MODELLO DOGANE'!N99&lt;&gt;"",'MODELLO DOGANE'!N99,"")</f>
        <v>+0,02</v>
      </c>
      <c r="E279" s="763" t="s">
        <v>1547</v>
      </c>
      <c r="F279" s="785" t="s">
        <v>1548</v>
      </c>
    </row>
    <row r="280" spans="1:6" x14ac:dyDescent="0.25">
      <c r="A280" s="786" t="s">
        <v>364</v>
      </c>
      <c r="B280" s="926" t="s">
        <v>469</v>
      </c>
      <c r="C280" s="784" t="s">
        <v>1574</v>
      </c>
      <c r="D280" s="895" t="str">
        <f>IF('MODELLO DOGANE'!N100&lt;&gt;"",'MODELLO DOGANE'!N100,"")</f>
        <v>+0,18</v>
      </c>
      <c r="E280" s="763" t="s">
        <v>1547</v>
      </c>
      <c r="F280" s="785" t="s">
        <v>1548</v>
      </c>
    </row>
    <row r="281" spans="1:6" x14ac:dyDescent="0.25">
      <c r="A281" s="786" t="s">
        <v>364</v>
      </c>
      <c r="B281" s="926" t="s">
        <v>469</v>
      </c>
      <c r="C281" s="784" t="s">
        <v>1574</v>
      </c>
      <c r="D281" s="895"/>
      <c r="E281" s="763" t="s">
        <v>1547</v>
      </c>
      <c r="F281" s="785" t="s">
        <v>1548</v>
      </c>
    </row>
    <row r="282" spans="1:6" x14ac:dyDescent="0.25">
      <c r="A282" s="786" t="s">
        <v>364</v>
      </c>
      <c r="B282" s="926" t="s">
        <v>469</v>
      </c>
      <c r="C282" s="784" t="s">
        <v>1574</v>
      </c>
      <c r="D282" s="895" t="str">
        <f>IF('MODELLO DOGANE'!N102&lt;&gt;"",'MODELLO DOGANE'!N102,"")</f>
        <v>+0,22</v>
      </c>
      <c r="E282" s="763" t="s">
        <v>1547</v>
      </c>
      <c r="F282" s="785" t="s">
        <v>1548</v>
      </c>
    </row>
    <row r="283" spans="1:6" x14ac:dyDescent="0.25">
      <c r="A283" s="786" t="s">
        <v>364</v>
      </c>
      <c r="B283" s="926" t="str">
        <f>'MODELLO DOGANE'!L93</f>
        <v>A-</v>
      </c>
      <c r="C283" s="784" t="s">
        <v>1575</v>
      </c>
      <c r="D283" s="895" t="str">
        <f>IF('MODELLO DOGANE'!P94&lt;&gt;"",'MODELLO DOGANE'!P94,"")</f>
        <v>+0,25</v>
      </c>
      <c r="E283" s="763" t="s">
        <v>1547</v>
      </c>
      <c r="F283" s="785" t="s">
        <v>1548</v>
      </c>
    </row>
    <row r="284" spans="1:6" x14ac:dyDescent="0.25">
      <c r="A284" s="786" t="s">
        <v>364</v>
      </c>
      <c r="B284" s="926" t="s">
        <v>470</v>
      </c>
      <c r="C284" s="784" t="s">
        <v>1575</v>
      </c>
      <c r="D284" s="895" t="str">
        <f>IF('MODELLO DOGANE'!P95&lt;&gt;"",'MODELLO DOGANE'!P95,"")</f>
        <v>+0,05</v>
      </c>
      <c r="E284" s="763" t="s">
        <v>1547</v>
      </c>
      <c r="F284" s="785" t="s">
        <v>1548</v>
      </c>
    </row>
    <row r="285" spans="1:6" x14ac:dyDescent="0.25">
      <c r="A285" s="786" t="s">
        <v>364</v>
      </c>
      <c r="B285" s="926" t="s">
        <v>470</v>
      </c>
      <c r="C285" s="784" t="s">
        <v>1575</v>
      </c>
      <c r="D285" s="895" t="str">
        <f>IF('MODELLO DOGANE'!P96&lt;&gt;"",'MODELLO DOGANE'!P96,"")</f>
        <v>+0,26</v>
      </c>
      <c r="E285" s="763" t="s">
        <v>1547</v>
      </c>
      <c r="F285" s="785" t="s">
        <v>1548</v>
      </c>
    </row>
    <row r="286" spans="1:6" x14ac:dyDescent="0.25">
      <c r="A286" s="786" t="s">
        <v>364</v>
      </c>
      <c r="B286" s="926" t="s">
        <v>470</v>
      </c>
      <c r="C286" s="784" t="s">
        <v>1575</v>
      </c>
      <c r="D286" s="895" t="str">
        <f>IF('MODELLO DOGANE'!P97&lt;&gt;"",'MODELLO DOGANE'!P97,"")</f>
        <v>+0,08</v>
      </c>
      <c r="E286" s="763" t="s">
        <v>1547</v>
      </c>
      <c r="F286" s="785" t="s">
        <v>1548</v>
      </c>
    </row>
    <row r="287" spans="1:6" x14ac:dyDescent="0.25">
      <c r="A287" s="786" t="s">
        <v>364</v>
      </c>
      <c r="B287" s="926" t="s">
        <v>470</v>
      </c>
      <c r="C287" s="784" t="s">
        <v>1575</v>
      </c>
      <c r="D287" s="895" t="str">
        <f>IF('MODELLO DOGANE'!P98&lt;&gt;"",'MODELLO DOGANE'!P98,"")</f>
        <v>+0,27</v>
      </c>
      <c r="E287" s="763" t="s">
        <v>1547</v>
      </c>
      <c r="F287" s="785" t="s">
        <v>1548</v>
      </c>
    </row>
    <row r="288" spans="1:6" x14ac:dyDescent="0.25">
      <c r="A288" s="786" t="s">
        <v>364</v>
      </c>
      <c r="B288" s="926" t="s">
        <v>470</v>
      </c>
      <c r="C288" s="784" t="s">
        <v>1575</v>
      </c>
      <c r="D288" s="895" t="str">
        <f>IF('MODELLO DOGANE'!P99&lt;&gt;"",'MODELLO DOGANE'!P99,"")</f>
        <v>+0,11</v>
      </c>
      <c r="E288" s="763" t="s">
        <v>1547</v>
      </c>
      <c r="F288" s="785" t="s">
        <v>1548</v>
      </c>
    </row>
    <row r="289" spans="1:6" x14ac:dyDescent="0.25">
      <c r="A289" s="786" t="s">
        <v>364</v>
      </c>
      <c r="B289" s="926" t="s">
        <v>470</v>
      </c>
      <c r="C289" s="784" t="s">
        <v>1575</v>
      </c>
      <c r="D289" s="895" t="str">
        <f>IF('MODELLO DOGANE'!P100&lt;&gt;"",'MODELLO DOGANE'!P100,"")</f>
        <v>+0,27</v>
      </c>
      <c r="E289" s="763" t="s">
        <v>1547</v>
      </c>
      <c r="F289" s="785" t="s">
        <v>1548</v>
      </c>
    </row>
    <row r="290" spans="1:6" x14ac:dyDescent="0.25">
      <c r="A290" s="786" t="s">
        <v>364</v>
      </c>
      <c r="B290" s="926" t="s">
        <v>470</v>
      </c>
      <c r="C290" s="784" t="s">
        <v>1575</v>
      </c>
      <c r="D290" s="895"/>
      <c r="E290" s="763" t="s">
        <v>1547</v>
      </c>
      <c r="F290" s="785" t="s">
        <v>1548</v>
      </c>
    </row>
    <row r="291" spans="1:6" x14ac:dyDescent="0.25">
      <c r="A291" s="786" t="s">
        <v>364</v>
      </c>
      <c r="B291" s="926" t="s">
        <v>470</v>
      </c>
      <c r="C291" s="784" t="s">
        <v>1575</v>
      </c>
      <c r="D291" s="895" t="str">
        <f>IF('MODELLO DOGANE'!P102&lt;&gt;"",'MODELLO DOGANE'!P102,"")</f>
        <v>+0,31</v>
      </c>
      <c r="E291" s="763" t="s">
        <v>1547</v>
      </c>
      <c r="F291" s="785" t="s">
        <v>1548</v>
      </c>
    </row>
    <row r="292" spans="1:6" x14ac:dyDescent="0.25">
      <c r="A292" s="786" t="s">
        <v>364</v>
      </c>
      <c r="B292" s="926" t="str">
        <f>'MODELLO DOGANE'!R93</f>
        <v>errore %</v>
      </c>
      <c r="C292" s="784" t="s">
        <v>1576</v>
      </c>
      <c r="D292" s="895" t="str">
        <f>IF('MODELLO DOGANE'!R94&lt;&gt;"",'MODELLO DOGANE'!R94,"")</f>
        <v>1,57</v>
      </c>
      <c r="E292" s="763" t="s">
        <v>1553</v>
      </c>
      <c r="F292" s="785" t="s">
        <v>1548</v>
      </c>
    </row>
    <row r="293" spans="1:6" x14ac:dyDescent="0.25">
      <c r="A293" s="786" t="s">
        <v>364</v>
      </c>
      <c r="B293" s="926" t="s">
        <v>471</v>
      </c>
      <c r="C293" s="784" t="s">
        <v>1576</v>
      </c>
      <c r="D293" s="895" t="str">
        <f>IF('MODELLO DOGANE'!R95&lt;&gt;"",'MODELLO DOGANE'!R95,"")</f>
        <v>3,92</v>
      </c>
      <c r="E293" s="763" t="s">
        <v>1553</v>
      </c>
      <c r="F293" s="785" t="s">
        <v>1548</v>
      </c>
    </row>
    <row r="294" spans="1:6" x14ac:dyDescent="0.25">
      <c r="A294" s="786" t="s">
        <v>364</v>
      </c>
      <c r="B294" s="926" t="s">
        <v>471</v>
      </c>
      <c r="C294" s="784" t="s">
        <v>1576</v>
      </c>
      <c r="D294" s="895" t="str">
        <f>IF('MODELLO DOGANE'!R96&lt;&gt;"",'MODELLO DOGANE'!R96,"")</f>
        <v>1,33</v>
      </c>
      <c r="E294" s="763" t="s">
        <v>1553</v>
      </c>
      <c r="F294" s="785" t="s">
        <v>1548</v>
      </c>
    </row>
    <row r="295" spans="1:6" x14ac:dyDescent="0.25">
      <c r="A295" s="786" t="s">
        <v>364</v>
      </c>
      <c r="B295" s="926" t="s">
        <v>471</v>
      </c>
      <c r="C295" s="784" t="s">
        <v>1576</v>
      </c>
      <c r="D295" s="895" t="str">
        <f>IF('MODELLO DOGANE'!R97&lt;&gt;"",'MODELLO DOGANE'!R97,"")</f>
        <v>2,80</v>
      </c>
      <c r="E295" s="763" t="s">
        <v>1553</v>
      </c>
      <c r="F295" s="785" t="s">
        <v>1548</v>
      </c>
    </row>
    <row r="296" spans="1:6" x14ac:dyDescent="0.25">
      <c r="A296" s="786" t="s">
        <v>364</v>
      </c>
      <c r="B296" s="926" t="s">
        <v>471</v>
      </c>
      <c r="C296" s="784" t="s">
        <v>1576</v>
      </c>
      <c r="D296" s="895" t="str">
        <f>IF('MODELLO DOGANE'!R98&lt;&gt;"",'MODELLO DOGANE'!R98,"")</f>
        <v>1,33</v>
      </c>
      <c r="E296" s="763" t="s">
        <v>1553</v>
      </c>
      <c r="F296" s="785" t="s">
        <v>1548</v>
      </c>
    </row>
    <row r="297" spans="1:6" x14ac:dyDescent="0.25">
      <c r="A297" s="786" t="s">
        <v>364</v>
      </c>
      <c r="B297" s="926" t="s">
        <v>471</v>
      </c>
      <c r="C297" s="784" t="s">
        <v>1576</v>
      </c>
      <c r="D297" s="895" t="str">
        <f>IF('MODELLO DOGANE'!R99&lt;&gt;"",'MODELLO DOGANE'!R99,"")</f>
        <v>2,80</v>
      </c>
      <c r="E297" s="763" t="s">
        <v>1553</v>
      </c>
      <c r="F297" s="785" t="s">
        <v>1548</v>
      </c>
    </row>
    <row r="298" spans="1:6" x14ac:dyDescent="0.25">
      <c r="A298" s="786" t="s">
        <v>364</v>
      </c>
      <c r="B298" s="926" t="s">
        <v>471</v>
      </c>
      <c r="C298" s="784" t="s">
        <v>1576</v>
      </c>
      <c r="D298" s="895" t="str">
        <f>IF('MODELLO DOGANE'!R100&lt;&gt;"",'MODELLO DOGANE'!R100,"")</f>
        <v>1,33</v>
      </c>
      <c r="E298" s="763" t="s">
        <v>1553</v>
      </c>
      <c r="F298" s="785" t="s">
        <v>1548</v>
      </c>
    </row>
    <row r="299" spans="1:6" x14ac:dyDescent="0.25">
      <c r="A299" s="786" t="s">
        <v>364</v>
      </c>
      <c r="B299" s="926" t="s">
        <v>471</v>
      </c>
      <c r="C299" s="784" t="s">
        <v>1576</v>
      </c>
      <c r="D299" s="895"/>
      <c r="E299" s="763" t="s">
        <v>1553</v>
      </c>
      <c r="F299" s="785" t="s">
        <v>1548</v>
      </c>
    </row>
    <row r="300" spans="1:6" x14ac:dyDescent="0.25">
      <c r="A300" s="786" t="s">
        <v>364</v>
      </c>
      <c r="B300" s="926" t="s">
        <v>471</v>
      </c>
      <c r="C300" s="784" t="s">
        <v>1576</v>
      </c>
      <c r="D300" s="895" t="str">
        <f>IF('MODELLO DOGANE'!R102&lt;&gt;"",'MODELLO DOGANE'!R102,"")</f>
        <v>1,70</v>
      </c>
      <c r="E300" s="763" t="s">
        <v>1553</v>
      </c>
      <c r="F300" s="785" t="s">
        <v>1548</v>
      </c>
    </row>
    <row r="301" spans="1:6" ht="15.75" thickBot="1" x14ac:dyDescent="0.3">
      <c r="A301" s="828" t="s">
        <v>364</v>
      </c>
      <c r="B301" s="952" t="s">
        <v>1577</v>
      </c>
      <c r="C301" s="868" t="s">
        <v>1578</v>
      </c>
      <c r="D301" s="907">
        <v>8</v>
      </c>
      <c r="E301" s="869" t="s">
        <v>1579</v>
      </c>
      <c r="F301" s="957" t="s">
        <v>1684</v>
      </c>
    </row>
    <row r="302" spans="1:6" x14ac:dyDescent="0.25">
      <c r="A302" s="768" t="s">
        <v>1580</v>
      </c>
      <c r="B302" s="955" t="str">
        <f>'MODELLO DOGANE'!T92</f>
        <v>ora inizio verifica:</v>
      </c>
      <c r="C302" s="809" t="s">
        <v>1581</v>
      </c>
      <c r="D302" s="960">
        <f>'MODELLO DOGANE'!T95</f>
        <v>0.42777777777777781</v>
      </c>
      <c r="E302" s="810" t="s">
        <v>1364</v>
      </c>
      <c r="F302" s="956"/>
    </row>
    <row r="303" spans="1:6" ht="15.75" thickBot="1" x14ac:dyDescent="0.3">
      <c r="A303" s="965" t="s">
        <v>1580</v>
      </c>
      <c r="B303" s="966" t="str">
        <f>'MODELLO DOGANE'!T101</f>
        <v>ora fine verifica:</v>
      </c>
      <c r="C303" s="817" t="s">
        <v>1582</v>
      </c>
      <c r="D303" s="967">
        <f>'MODELLO DOGANE'!T104</f>
        <v>0.4375</v>
      </c>
      <c r="E303" s="818" t="s">
        <v>1364</v>
      </c>
      <c r="F303" s="968"/>
    </row>
    <row r="304" spans="1:6" x14ac:dyDescent="0.25">
      <c r="A304" s="797" t="s">
        <v>1583</v>
      </c>
      <c r="B304" s="928" t="str">
        <f>'MODELLO DOGANE'!B108</f>
        <v>N°</v>
      </c>
      <c r="C304" s="754" t="s">
        <v>1584</v>
      </c>
      <c r="D304" s="898" t="str">
        <f>'MODELLO DOGANE'!B109</f>
        <v>1</v>
      </c>
      <c r="E304" s="781" t="s">
        <v>1585</v>
      </c>
      <c r="F304" s="971"/>
    </row>
    <row r="305" spans="1:6" x14ac:dyDescent="0.25">
      <c r="A305" s="800" t="s">
        <v>1583</v>
      </c>
      <c r="B305" s="934" t="s">
        <v>393</v>
      </c>
      <c r="C305" s="759" t="s">
        <v>1584</v>
      </c>
      <c r="D305" s="895" t="str">
        <f>'MODELLO DOGANE'!B110</f>
        <v>2</v>
      </c>
      <c r="E305" s="865" t="s">
        <v>1585</v>
      </c>
      <c r="F305" s="880"/>
    </row>
    <row r="306" spans="1:6" x14ac:dyDescent="0.25">
      <c r="A306" s="800" t="s">
        <v>1583</v>
      </c>
      <c r="B306" s="934" t="s">
        <v>393</v>
      </c>
      <c r="C306" s="759" t="s">
        <v>1584</v>
      </c>
      <c r="D306" s="895" t="str">
        <f>'MODELLO DOGANE'!B111</f>
        <v>3</v>
      </c>
      <c r="E306" s="865" t="s">
        <v>1585</v>
      </c>
      <c r="F306" s="880"/>
    </row>
    <row r="307" spans="1:6" x14ac:dyDescent="0.25">
      <c r="A307" s="800" t="s">
        <v>1583</v>
      </c>
      <c r="B307" s="934" t="s">
        <v>393</v>
      </c>
      <c r="C307" s="759" t="s">
        <v>1584</v>
      </c>
      <c r="D307" s="895" t="str">
        <f>'MODELLO DOGANE'!B112</f>
        <v>4</v>
      </c>
      <c r="E307" s="865" t="s">
        <v>1585</v>
      </c>
      <c r="F307" s="880"/>
    </row>
    <row r="308" spans="1:6" x14ac:dyDescent="0.25">
      <c r="A308" s="800" t="s">
        <v>1583</v>
      </c>
      <c r="B308" s="934" t="s">
        <v>393</v>
      </c>
      <c r="C308" s="759" t="s">
        <v>1584</v>
      </c>
      <c r="D308" s="895" t="str">
        <f>'MODELLO DOGANE'!B113</f>
        <v>5</v>
      </c>
      <c r="E308" s="865" t="s">
        <v>1585</v>
      </c>
      <c r="F308" s="880"/>
    </row>
    <row r="309" spans="1:6" x14ac:dyDescent="0.25">
      <c r="A309" s="800" t="s">
        <v>1583</v>
      </c>
      <c r="B309" s="934" t="s">
        <v>393</v>
      </c>
      <c r="C309" s="759" t="s">
        <v>1584</v>
      </c>
      <c r="D309" s="895" t="str">
        <f>'MODELLO DOGANE'!B114</f>
        <v>6</v>
      </c>
      <c r="E309" s="865" t="s">
        <v>1585</v>
      </c>
      <c r="F309" s="880"/>
    </row>
    <row r="310" spans="1:6" x14ac:dyDescent="0.25">
      <c r="A310" s="800" t="s">
        <v>1583</v>
      </c>
      <c r="B310" s="934" t="s">
        <v>393</v>
      </c>
      <c r="C310" s="759" t="s">
        <v>1584</v>
      </c>
      <c r="D310" s="895" t="str">
        <f>'MODELLO DOGANE'!B115</f>
        <v>7</v>
      </c>
      <c r="E310" s="865" t="s">
        <v>1585</v>
      </c>
      <c r="F310" s="880"/>
    </row>
    <row r="311" spans="1:6" x14ac:dyDescent="0.25">
      <c r="A311" s="800" t="s">
        <v>1583</v>
      </c>
      <c r="B311" s="934" t="s">
        <v>393</v>
      </c>
      <c r="C311" s="759" t="s">
        <v>1584</v>
      </c>
      <c r="D311" s="895" t="str">
        <f>'MODELLO DOGANE'!B116</f>
        <v>8</v>
      </c>
      <c r="E311" s="865" t="s">
        <v>1585</v>
      </c>
      <c r="F311" s="880"/>
    </row>
    <row r="312" spans="1:6" x14ac:dyDescent="0.25">
      <c r="A312" s="800" t="s">
        <v>1583</v>
      </c>
      <c r="B312" s="934" t="s">
        <v>393</v>
      </c>
      <c r="C312" s="759" t="s">
        <v>1584</v>
      </c>
      <c r="D312" s="895" t="str">
        <f>'MODELLO DOGANE'!B117</f>
        <v>9</v>
      </c>
      <c r="E312" s="865" t="s">
        <v>1585</v>
      </c>
      <c r="F312" s="880"/>
    </row>
    <row r="313" spans="1:6" x14ac:dyDescent="0.25">
      <c r="A313" s="800" t="s">
        <v>1583</v>
      </c>
      <c r="B313" s="934" t="s">
        <v>393</v>
      </c>
      <c r="C313" s="759" t="s">
        <v>1584</v>
      </c>
      <c r="D313" s="895" t="str">
        <f>'MODELLO DOGANE'!B118</f>
        <v>10</v>
      </c>
      <c r="E313" s="865" t="s">
        <v>1585</v>
      </c>
      <c r="F313" s="880"/>
    </row>
    <row r="314" spans="1:6" x14ac:dyDescent="0.25">
      <c r="A314" s="800" t="s">
        <v>1583</v>
      </c>
      <c r="B314" s="934" t="s">
        <v>393</v>
      </c>
      <c r="C314" s="759" t="s">
        <v>1584</v>
      </c>
      <c r="D314" s="911">
        <v>11</v>
      </c>
      <c r="E314" s="865" t="s">
        <v>1585</v>
      </c>
      <c r="F314" s="880" t="s">
        <v>1586</v>
      </c>
    </row>
    <row r="315" spans="1:6" x14ac:dyDescent="0.25">
      <c r="A315" s="800" t="s">
        <v>1583</v>
      </c>
      <c r="B315" s="934" t="s">
        <v>393</v>
      </c>
      <c r="C315" s="759" t="s">
        <v>1584</v>
      </c>
      <c r="D315" s="911">
        <v>12</v>
      </c>
      <c r="E315" s="865" t="s">
        <v>1585</v>
      </c>
      <c r="F315" s="880" t="s">
        <v>1586</v>
      </c>
    </row>
    <row r="316" spans="1:6" x14ac:dyDescent="0.25">
      <c r="A316" s="800" t="s">
        <v>1583</v>
      </c>
      <c r="B316" s="934" t="s">
        <v>393</v>
      </c>
      <c r="C316" s="759" t="s">
        <v>1584</v>
      </c>
      <c r="D316" s="911">
        <v>13</v>
      </c>
      <c r="E316" s="865" t="s">
        <v>1585</v>
      </c>
      <c r="F316" s="880" t="s">
        <v>1586</v>
      </c>
    </row>
    <row r="317" spans="1:6" x14ac:dyDescent="0.25">
      <c r="A317" s="800" t="s">
        <v>1583</v>
      </c>
      <c r="B317" s="934" t="s">
        <v>393</v>
      </c>
      <c r="C317" s="759" t="s">
        <v>1584</v>
      </c>
      <c r="D317" s="911">
        <v>14</v>
      </c>
      <c r="E317" s="865" t="s">
        <v>1585</v>
      </c>
      <c r="F317" s="880" t="s">
        <v>1586</v>
      </c>
    </row>
    <row r="318" spans="1:6" x14ac:dyDescent="0.25">
      <c r="A318" s="800" t="s">
        <v>1583</v>
      </c>
      <c r="B318" s="934" t="s">
        <v>393</v>
      </c>
      <c r="C318" s="759" t="s">
        <v>1584</v>
      </c>
      <c r="D318" s="911">
        <v>15</v>
      </c>
      <c r="E318" s="865" t="s">
        <v>1585</v>
      </c>
      <c r="F318" s="880" t="s">
        <v>1586</v>
      </c>
    </row>
    <row r="319" spans="1:6" x14ac:dyDescent="0.25">
      <c r="A319" s="800" t="s">
        <v>1583</v>
      </c>
      <c r="B319" s="934" t="str">
        <f>'MODELLO DOGANE'!C108</f>
        <v>Suggelli</v>
      </c>
      <c r="C319" s="759" t="s">
        <v>1587</v>
      </c>
      <c r="D319" s="895" t="str">
        <f>'MODELLO DOGANE'!C109</f>
        <v>ENERGHIA BS1</v>
      </c>
      <c r="E319" s="763" t="s">
        <v>1428</v>
      </c>
      <c r="F319" s="880"/>
    </row>
    <row r="320" spans="1:6" x14ac:dyDescent="0.25">
      <c r="A320" s="800" t="s">
        <v>1583</v>
      </c>
      <c r="B320" s="934" t="s">
        <v>475</v>
      </c>
      <c r="C320" s="759" t="s">
        <v>1587</v>
      </c>
      <c r="D320" s="895" t="str">
        <f>'MODELLO DOGANE'!C110</f>
        <v>ENERGHIA BS2</v>
      </c>
      <c r="E320" s="763" t="s">
        <v>1428</v>
      </c>
      <c r="F320" s="881"/>
    </row>
    <row r="321" spans="1:6" x14ac:dyDescent="0.25">
      <c r="A321" s="800" t="s">
        <v>1583</v>
      </c>
      <c r="B321" s="934" t="s">
        <v>475</v>
      </c>
      <c r="C321" s="759" t="s">
        <v>1587</v>
      </c>
      <c r="D321" s="895" t="str">
        <f>'MODELLO DOGANE'!C111</f>
        <v>ENERGHIA BS3</v>
      </c>
      <c r="E321" s="763" t="s">
        <v>1428</v>
      </c>
      <c r="F321" s="881"/>
    </row>
    <row r="322" spans="1:6" x14ac:dyDescent="0.25">
      <c r="A322" s="800" t="s">
        <v>1583</v>
      </c>
      <c r="B322" s="934" t="s">
        <v>475</v>
      </c>
      <c r="C322" s="759" t="s">
        <v>1587</v>
      </c>
      <c r="D322" s="895" t="str">
        <f>'MODELLO DOGANE'!C112</f>
        <v>ENERGHIA BS4</v>
      </c>
      <c r="E322" s="763" t="s">
        <v>1428</v>
      </c>
      <c r="F322" s="881"/>
    </row>
    <row r="323" spans="1:6" x14ac:dyDescent="0.25">
      <c r="A323" s="800" t="s">
        <v>1583</v>
      </c>
      <c r="B323" s="934" t="s">
        <v>475</v>
      </c>
      <c r="C323" s="759" t="s">
        <v>1587</v>
      </c>
      <c r="D323" s="895" t="str">
        <f>'MODELLO DOGANE'!C113</f>
        <v>ENERGHIA BS5</v>
      </c>
      <c r="E323" s="763" t="s">
        <v>1428</v>
      </c>
      <c r="F323" s="881"/>
    </row>
    <row r="324" spans="1:6" x14ac:dyDescent="0.25">
      <c r="A324" s="800" t="s">
        <v>1583</v>
      </c>
      <c r="B324" s="934" t="s">
        <v>475</v>
      </c>
      <c r="C324" s="759" t="s">
        <v>1587</v>
      </c>
      <c r="D324" s="895" t="str">
        <f>'MODELLO DOGANE'!C114</f>
        <v>ENERGHIA BS6</v>
      </c>
      <c r="E324" s="763" t="s">
        <v>1428</v>
      </c>
      <c r="F324" s="881"/>
    </row>
    <row r="325" spans="1:6" x14ac:dyDescent="0.25">
      <c r="A325" s="800" t="s">
        <v>1583</v>
      </c>
      <c r="B325" s="934" t="s">
        <v>475</v>
      </c>
      <c r="C325" s="759" t="s">
        <v>1587</v>
      </c>
      <c r="D325" s="895" t="str">
        <f>'MODELLO DOGANE'!C115</f>
        <v>ENERGHIA BS7</v>
      </c>
      <c r="E325" s="763" t="s">
        <v>1428</v>
      </c>
      <c r="F325" s="881"/>
    </row>
    <row r="326" spans="1:6" x14ac:dyDescent="0.25">
      <c r="A326" s="800" t="s">
        <v>1583</v>
      </c>
      <c r="B326" s="934" t="s">
        <v>475</v>
      </c>
      <c r="C326" s="759" t="s">
        <v>1587</v>
      </c>
      <c r="D326" s="895" t="str">
        <f>'MODELLO DOGANE'!C116</f>
        <v>ENERGHIA BS8</v>
      </c>
      <c r="E326" s="763" t="s">
        <v>1428</v>
      </c>
      <c r="F326" s="881"/>
    </row>
    <row r="327" spans="1:6" x14ac:dyDescent="0.25">
      <c r="A327" s="800" t="s">
        <v>1583</v>
      </c>
      <c r="B327" s="934" t="s">
        <v>475</v>
      </c>
      <c r="C327" s="759" t="s">
        <v>1587</v>
      </c>
      <c r="D327" s="895" t="str">
        <f>'MODELLO DOGANE'!C117</f>
        <v>ENERGHIA BS9</v>
      </c>
      <c r="E327" s="763" t="s">
        <v>1428</v>
      </c>
      <c r="F327" s="881"/>
    </row>
    <row r="328" spans="1:6" x14ac:dyDescent="0.25">
      <c r="A328" s="800" t="s">
        <v>1583</v>
      </c>
      <c r="B328" s="934" t="s">
        <v>475</v>
      </c>
      <c r="C328" s="759" t="s">
        <v>1587</v>
      </c>
      <c r="D328" s="895" t="str">
        <f>'MODELLO DOGANE'!C118</f>
        <v>ENERGHIA BS10</v>
      </c>
      <c r="E328" s="763" t="s">
        <v>1428</v>
      </c>
      <c r="F328" s="881"/>
    </row>
    <row r="329" spans="1:6" x14ac:dyDescent="0.25">
      <c r="A329" s="800" t="s">
        <v>1583</v>
      </c>
      <c r="B329" s="934" t="s">
        <v>475</v>
      </c>
      <c r="C329" s="759" t="s">
        <v>1587</v>
      </c>
      <c r="D329" s="911" t="s">
        <v>1665</v>
      </c>
      <c r="E329" s="763" t="s">
        <v>1428</v>
      </c>
      <c r="F329" s="880" t="s">
        <v>1586</v>
      </c>
    </row>
    <row r="330" spans="1:6" x14ac:dyDescent="0.25">
      <c r="A330" s="800" t="s">
        <v>1583</v>
      </c>
      <c r="B330" s="934" t="s">
        <v>475</v>
      </c>
      <c r="C330" s="759" t="s">
        <v>1587</v>
      </c>
      <c r="D330" s="911" t="s">
        <v>1666</v>
      </c>
      <c r="E330" s="763" t="s">
        <v>1428</v>
      </c>
      <c r="F330" s="880" t="s">
        <v>1586</v>
      </c>
    </row>
    <row r="331" spans="1:6" x14ac:dyDescent="0.25">
      <c r="A331" s="800" t="s">
        <v>1583</v>
      </c>
      <c r="B331" s="934" t="s">
        <v>475</v>
      </c>
      <c r="C331" s="759" t="s">
        <v>1587</v>
      </c>
      <c r="D331" s="911" t="s">
        <v>1667</v>
      </c>
      <c r="E331" s="763" t="s">
        <v>1428</v>
      </c>
      <c r="F331" s="880" t="s">
        <v>1586</v>
      </c>
    </row>
    <row r="332" spans="1:6" x14ac:dyDescent="0.25">
      <c r="A332" s="800" t="s">
        <v>1583</v>
      </c>
      <c r="B332" s="934" t="s">
        <v>475</v>
      </c>
      <c r="C332" s="759" t="s">
        <v>1587</v>
      </c>
      <c r="D332" s="911" t="s">
        <v>1668</v>
      </c>
      <c r="E332" s="763" t="s">
        <v>1428</v>
      </c>
      <c r="F332" s="880" t="s">
        <v>1586</v>
      </c>
    </row>
    <row r="333" spans="1:6" x14ac:dyDescent="0.25">
      <c r="A333" s="800" t="s">
        <v>1583</v>
      </c>
      <c r="B333" s="934" t="s">
        <v>475</v>
      </c>
      <c r="C333" s="759" t="s">
        <v>1587</v>
      </c>
      <c r="D333" s="911" t="s">
        <v>1669</v>
      </c>
      <c r="E333" s="763" t="s">
        <v>1428</v>
      </c>
      <c r="F333" s="880" t="s">
        <v>1586</v>
      </c>
    </row>
    <row r="334" spans="1:6" ht="60" x14ac:dyDescent="0.25">
      <c r="A334" s="800" t="s">
        <v>1583</v>
      </c>
      <c r="B334" s="934" t="str">
        <f>'MODELLO DOGANE'!G108</f>
        <v>Appl. - Pres. - Rimossi</v>
      </c>
      <c r="C334" s="759" t="s">
        <v>1588</v>
      </c>
      <c r="D334" s="895">
        <f>IF('MODELLO DOGANE'!G109="Applicato",1,IF('MODELLO DOGANE'!G109="Presente",2,IF('MODELLO DOGANE'!G109="Rimosso",3)))</f>
        <v>1</v>
      </c>
      <c r="E334" s="763" t="s">
        <v>1670</v>
      </c>
      <c r="F334" s="785"/>
    </row>
    <row r="335" spans="1:6" ht="60" x14ac:dyDescent="0.25">
      <c r="A335" s="800" t="s">
        <v>1583</v>
      </c>
      <c r="B335" s="934" t="s">
        <v>476</v>
      </c>
      <c r="C335" s="759" t="s">
        <v>1588</v>
      </c>
      <c r="D335" s="895">
        <f>IF('MODELLO DOGANE'!G110="Applicato",1,IF('MODELLO DOGANE'!G110="Presente",2,IF('MODELLO DOGANE'!G110="Rimosso",3)))</f>
        <v>3</v>
      </c>
      <c r="E335" s="763" t="s">
        <v>1670</v>
      </c>
      <c r="F335" s="785"/>
    </row>
    <row r="336" spans="1:6" ht="60" x14ac:dyDescent="0.25">
      <c r="A336" s="800" t="s">
        <v>1583</v>
      </c>
      <c r="B336" s="934" t="s">
        <v>476</v>
      </c>
      <c r="C336" s="759" t="s">
        <v>1588</v>
      </c>
      <c r="D336" s="895">
        <f>IF('MODELLO DOGANE'!G111="Applicato",1,IF('MODELLO DOGANE'!G111="Presente",2,IF('MODELLO DOGANE'!G111="Rimosso",3)))</f>
        <v>2</v>
      </c>
      <c r="E336" s="763" t="s">
        <v>1670</v>
      </c>
      <c r="F336" s="785"/>
    </row>
    <row r="337" spans="1:6" ht="60" x14ac:dyDescent="0.25">
      <c r="A337" s="800" t="s">
        <v>1583</v>
      </c>
      <c r="B337" s="934" t="s">
        <v>476</v>
      </c>
      <c r="C337" s="759" t="s">
        <v>1588</v>
      </c>
      <c r="D337" s="895">
        <f>IF('MODELLO DOGANE'!G112="Applicato",1,IF('MODELLO DOGANE'!G112="Presente",2,IF('MODELLO DOGANE'!G112="Rimosso",3)))</f>
        <v>1</v>
      </c>
      <c r="E337" s="763" t="s">
        <v>1670</v>
      </c>
      <c r="F337" s="785"/>
    </row>
    <row r="338" spans="1:6" ht="60" x14ac:dyDescent="0.25">
      <c r="A338" s="800" t="s">
        <v>1583</v>
      </c>
      <c r="B338" s="934" t="s">
        <v>476</v>
      </c>
      <c r="C338" s="759" t="s">
        <v>1588</v>
      </c>
      <c r="D338" s="895">
        <f>IF('MODELLO DOGANE'!G113="Applicato",1,IF('MODELLO DOGANE'!G113="Presente",2,IF('MODELLO DOGANE'!G113="Rimosso",3)))</f>
        <v>3</v>
      </c>
      <c r="E338" s="763" t="s">
        <v>1670</v>
      </c>
      <c r="F338" s="785"/>
    </row>
    <row r="339" spans="1:6" ht="60" x14ac:dyDescent="0.25">
      <c r="A339" s="800" t="s">
        <v>1583</v>
      </c>
      <c r="B339" s="934" t="s">
        <v>476</v>
      </c>
      <c r="C339" s="759" t="s">
        <v>1588</v>
      </c>
      <c r="D339" s="895">
        <f>IF('MODELLO DOGANE'!G114="Applicato",1,IF('MODELLO DOGANE'!G114="Presente",2,IF('MODELLO DOGANE'!G114="Rimosso",3)))</f>
        <v>2</v>
      </c>
      <c r="E339" s="763" t="s">
        <v>1670</v>
      </c>
      <c r="F339" s="785"/>
    </row>
    <row r="340" spans="1:6" ht="60" x14ac:dyDescent="0.25">
      <c r="A340" s="800" t="s">
        <v>1583</v>
      </c>
      <c r="B340" s="934" t="s">
        <v>476</v>
      </c>
      <c r="C340" s="759" t="s">
        <v>1588</v>
      </c>
      <c r="D340" s="895">
        <f>IF('MODELLO DOGANE'!G115="Applicato",1,IF('MODELLO DOGANE'!G115="Presente",2,IF('MODELLO DOGANE'!G115="Rimosso",3)))</f>
        <v>1</v>
      </c>
      <c r="E340" s="763" t="s">
        <v>1670</v>
      </c>
      <c r="F340" s="785"/>
    </row>
    <row r="341" spans="1:6" ht="60" x14ac:dyDescent="0.25">
      <c r="A341" s="800" t="s">
        <v>1583</v>
      </c>
      <c r="B341" s="934" t="s">
        <v>476</v>
      </c>
      <c r="C341" s="759" t="s">
        <v>1588</v>
      </c>
      <c r="D341" s="895">
        <f>IF('MODELLO DOGANE'!G116="Applicato",1,IF('MODELLO DOGANE'!G116="Presente",2,IF('MODELLO DOGANE'!G116="Rimosso",3)))</f>
        <v>3</v>
      </c>
      <c r="E341" s="763" t="s">
        <v>1670</v>
      </c>
      <c r="F341" s="785"/>
    </row>
    <row r="342" spans="1:6" ht="60" x14ac:dyDescent="0.25">
      <c r="A342" s="800" t="s">
        <v>1583</v>
      </c>
      <c r="B342" s="934" t="s">
        <v>476</v>
      </c>
      <c r="C342" s="759" t="s">
        <v>1588</v>
      </c>
      <c r="D342" s="895">
        <f>IF('MODELLO DOGANE'!G117="Applicato",1,IF('MODELLO DOGANE'!G117="Presente",2,IF('MODELLO DOGANE'!G117="Rimosso",3)))</f>
        <v>2</v>
      </c>
      <c r="E342" s="763" t="s">
        <v>1670</v>
      </c>
      <c r="F342" s="785"/>
    </row>
    <row r="343" spans="1:6" ht="60" x14ac:dyDescent="0.25">
      <c r="A343" s="800" t="s">
        <v>1583</v>
      </c>
      <c r="B343" s="934" t="s">
        <v>476</v>
      </c>
      <c r="C343" s="759" t="s">
        <v>1588</v>
      </c>
      <c r="D343" s="895">
        <f>IF('MODELLO DOGANE'!G118="Applicato",1,IF('MODELLO DOGANE'!G118="Presente",2,IF('MODELLO DOGANE'!G118="Rimosso",3)))</f>
        <v>1</v>
      </c>
      <c r="E343" s="763" t="s">
        <v>1670</v>
      </c>
      <c r="F343" s="785"/>
    </row>
    <row r="344" spans="1:6" ht="60" x14ac:dyDescent="0.25">
      <c r="A344" s="800" t="s">
        <v>1583</v>
      </c>
      <c r="B344" s="934" t="s">
        <v>476</v>
      </c>
      <c r="C344" s="759" t="s">
        <v>1588</v>
      </c>
      <c r="D344" s="911">
        <v>1</v>
      </c>
      <c r="E344" s="763" t="s">
        <v>1670</v>
      </c>
      <c r="F344" s="785" t="s">
        <v>1671</v>
      </c>
    </row>
    <row r="345" spans="1:6" ht="60" x14ac:dyDescent="0.25">
      <c r="A345" s="800" t="s">
        <v>1583</v>
      </c>
      <c r="B345" s="934" t="s">
        <v>476</v>
      </c>
      <c r="C345" s="759" t="s">
        <v>1588</v>
      </c>
      <c r="D345" s="911">
        <v>3</v>
      </c>
      <c r="E345" s="763" t="s">
        <v>1670</v>
      </c>
      <c r="F345" s="785" t="s">
        <v>1671</v>
      </c>
    </row>
    <row r="346" spans="1:6" ht="60" x14ac:dyDescent="0.25">
      <c r="A346" s="800" t="s">
        <v>1583</v>
      </c>
      <c r="B346" s="934" t="s">
        <v>476</v>
      </c>
      <c r="C346" s="759" t="s">
        <v>1588</v>
      </c>
      <c r="D346" s="911">
        <v>2</v>
      </c>
      <c r="E346" s="763" t="s">
        <v>1670</v>
      </c>
      <c r="F346" s="785" t="s">
        <v>1671</v>
      </c>
    </row>
    <row r="347" spans="1:6" ht="60" x14ac:dyDescent="0.25">
      <c r="A347" s="800" t="s">
        <v>1583</v>
      </c>
      <c r="B347" s="934" t="s">
        <v>476</v>
      </c>
      <c r="C347" s="759" t="s">
        <v>1588</v>
      </c>
      <c r="D347" s="911">
        <v>1</v>
      </c>
      <c r="E347" s="763" t="s">
        <v>1670</v>
      </c>
      <c r="F347" s="785" t="s">
        <v>1671</v>
      </c>
    </row>
    <row r="348" spans="1:6" ht="60" x14ac:dyDescent="0.25">
      <c r="A348" s="800" t="s">
        <v>1583</v>
      </c>
      <c r="B348" s="934" t="s">
        <v>476</v>
      </c>
      <c r="C348" s="759" t="s">
        <v>1588</v>
      </c>
      <c r="D348" s="911">
        <v>3</v>
      </c>
      <c r="E348" s="763" t="s">
        <v>1670</v>
      </c>
      <c r="F348" s="785" t="s">
        <v>1671</v>
      </c>
    </row>
    <row r="349" spans="1:6" ht="45" x14ac:dyDescent="0.25">
      <c r="A349" s="800" t="s">
        <v>1583</v>
      </c>
      <c r="B349" s="934" t="str">
        <f>'MODELLO DOGANE'!I108</f>
        <v>Posizionamento e/o Descrizione</v>
      </c>
      <c r="C349" s="759" t="s">
        <v>1589</v>
      </c>
      <c r="D349" s="763" t="str">
        <f>'MODELLO DOGANE'!I109</f>
        <v>CALOTTA CONTATOREEEEEEEEEEEEEEEEEEEEEEEEEEEEEEEEEEEEEEEEEEEEEEEEWSCDRFRGTGRTHRTHTRHRETH</v>
      </c>
      <c r="E349" s="763" t="s">
        <v>1590</v>
      </c>
      <c r="F349" s="785"/>
    </row>
    <row r="350" spans="1:6" x14ac:dyDescent="0.25">
      <c r="A350" s="800" t="s">
        <v>1583</v>
      </c>
      <c r="B350" s="934" t="s">
        <v>477</v>
      </c>
      <c r="C350" s="759" t="s">
        <v>1589</v>
      </c>
      <c r="D350" s="763" t="str">
        <f>'MODELLO DOGANE'!I110</f>
        <v>VANO BATTERIA CONTATORE</v>
      </c>
      <c r="E350" s="763" t="s">
        <v>1590</v>
      </c>
      <c r="F350" s="785"/>
    </row>
    <row r="351" spans="1:6" x14ac:dyDescent="0.25">
      <c r="A351" s="800" t="s">
        <v>1583</v>
      </c>
      <c r="B351" s="934" t="s">
        <v>477</v>
      </c>
      <c r="C351" s="759" t="s">
        <v>1589</v>
      </c>
      <c r="D351" s="763" t="str">
        <f>'MODELLO DOGANE'!I111</f>
        <v>GRUPPO OTTICO CONTATORE</v>
      </c>
      <c r="E351" s="763" t="s">
        <v>1590</v>
      </c>
      <c r="F351" s="785"/>
    </row>
    <row r="352" spans="1:6" x14ac:dyDescent="0.25">
      <c r="A352" s="800" t="s">
        <v>1583</v>
      </c>
      <c r="B352" s="934" t="s">
        <v>477</v>
      </c>
      <c r="C352" s="759" t="s">
        <v>1589</v>
      </c>
      <c r="D352" s="763" t="str">
        <f>'MODELLO DOGANE'!I112</f>
        <v>SPORTELLO CONTATORE ACCESSO TASTO PROGRAMMAZIONE</v>
      </c>
      <c r="E352" s="763" t="s">
        <v>1590</v>
      </c>
      <c r="F352" s="785"/>
    </row>
    <row r="353" spans="1:6" x14ac:dyDescent="0.25">
      <c r="A353" s="800" t="s">
        <v>1583</v>
      </c>
      <c r="B353" s="934" t="s">
        <v>477</v>
      </c>
      <c r="C353" s="759" t="s">
        <v>1589</v>
      </c>
      <c r="D353" s="763" t="str">
        <f>'MODELLO DOGANE'!I113</f>
        <v>COPRIMORSETTI CONTATORE</v>
      </c>
      <c r="E353" s="763" t="s">
        <v>1590</v>
      </c>
      <c r="F353" s="785"/>
    </row>
    <row r="354" spans="1:6" x14ac:dyDescent="0.25">
      <c r="A354" s="800" t="s">
        <v>1583</v>
      </c>
      <c r="B354" s="934" t="s">
        <v>477</v>
      </c>
      <c r="C354" s="759" t="s">
        <v>1589</v>
      </c>
      <c r="D354" s="763" t="str">
        <f>'MODELLO DOGANE'!I114</f>
        <v>MORSETTIERA DI PROVA</v>
      </c>
      <c r="E354" s="763" t="s">
        <v>1590</v>
      </c>
      <c r="F354" s="785"/>
    </row>
    <row r="355" spans="1:6" x14ac:dyDescent="0.25">
      <c r="A355" s="800" t="s">
        <v>1583</v>
      </c>
      <c r="B355" s="934" t="s">
        <v>477</v>
      </c>
      <c r="C355" s="759" t="s">
        <v>1589</v>
      </c>
      <c r="D355" s="763" t="str">
        <f>'MODELLO DOGANE'!I115</f>
        <v>COPRIMORSETTI TA-FASE R</v>
      </c>
      <c r="E355" s="763" t="s">
        <v>1590</v>
      </c>
      <c r="F355" s="785"/>
    </row>
    <row r="356" spans="1:6" x14ac:dyDescent="0.25">
      <c r="A356" s="800" t="s">
        <v>1583</v>
      </c>
      <c r="B356" s="934" t="s">
        <v>477</v>
      </c>
      <c r="C356" s="759" t="s">
        <v>1589</v>
      </c>
      <c r="D356" s="763" t="str">
        <f>'MODELLO DOGANE'!I116</f>
        <v>COPRIMORSETTI TA-FASE S</v>
      </c>
      <c r="E356" s="763" t="s">
        <v>1590</v>
      </c>
      <c r="F356" s="785"/>
    </row>
    <row r="357" spans="1:6" x14ac:dyDescent="0.25">
      <c r="A357" s="800" t="s">
        <v>1583</v>
      </c>
      <c r="B357" s="934" t="s">
        <v>477</v>
      </c>
      <c r="C357" s="759" t="s">
        <v>1589</v>
      </c>
      <c r="D357" s="763" t="str">
        <f>'MODELLO DOGANE'!I117</f>
        <v>COPRIMORSETTI TA-FASE T</v>
      </c>
      <c r="E357" s="763" t="s">
        <v>1590</v>
      </c>
      <c r="F357" s="785"/>
    </row>
    <row r="358" spans="1:6" x14ac:dyDescent="0.25">
      <c r="A358" s="800" t="s">
        <v>1583</v>
      </c>
      <c r="B358" s="934" t="s">
        <v>477</v>
      </c>
      <c r="C358" s="759" t="s">
        <v>1589</v>
      </c>
      <c r="D358" s="763" t="str">
        <f>'MODELLO DOGANE'!I118</f>
        <v>PLEXIGLASS ACCESSO A TA, TV E PRESE VOLTMETRICHE</v>
      </c>
      <c r="E358" s="763" t="s">
        <v>1590</v>
      </c>
      <c r="F358" s="785"/>
    </row>
    <row r="359" spans="1:6" x14ac:dyDescent="0.25">
      <c r="A359" s="800" t="s">
        <v>1583</v>
      </c>
      <c r="B359" s="934" t="s">
        <v>477</v>
      </c>
      <c r="C359" s="759" t="s">
        <v>1589</v>
      </c>
      <c r="D359" s="911" t="s">
        <v>1675</v>
      </c>
      <c r="E359" s="763" t="s">
        <v>1590</v>
      </c>
      <c r="F359" s="785" t="s">
        <v>1586</v>
      </c>
    </row>
    <row r="360" spans="1:6" x14ac:dyDescent="0.25">
      <c r="A360" s="800" t="s">
        <v>1583</v>
      </c>
      <c r="B360" s="934" t="s">
        <v>477</v>
      </c>
      <c r="C360" s="759" t="s">
        <v>1589</v>
      </c>
      <c r="D360" s="911" t="s">
        <v>1676</v>
      </c>
      <c r="E360" s="763" t="s">
        <v>1590</v>
      </c>
      <c r="F360" s="785" t="s">
        <v>1586</v>
      </c>
    </row>
    <row r="361" spans="1:6" x14ac:dyDescent="0.25">
      <c r="A361" s="800" t="s">
        <v>1583</v>
      </c>
      <c r="B361" s="934" t="s">
        <v>477</v>
      </c>
      <c r="C361" s="759" t="s">
        <v>1589</v>
      </c>
      <c r="D361" s="911" t="s">
        <v>1677</v>
      </c>
      <c r="E361" s="763" t="s">
        <v>1590</v>
      </c>
      <c r="F361" s="785" t="s">
        <v>1586</v>
      </c>
    </row>
    <row r="362" spans="1:6" x14ac:dyDescent="0.25">
      <c r="A362" s="800" t="s">
        <v>1583</v>
      </c>
      <c r="B362" s="934" t="s">
        <v>477</v>
      </c>
      <c r="C362" s="759" t="s">
        <v>1589</v>
      </c>
      <c r="D362" s="911" t="s">
        <v>1678</v>
      </c>
      <c r="E362" s="763" t="s">
        <v>1590</v>
      </c>
      <c r="F362" s="785" t="s">
        <v>1586</v>
      </c>
    </row>
    <row r="363" spans="1:6" x14ac:dyDescent="0.25">
      <c r="A363" s="800" t="s">
        <v>1583</v>
      </c>
      <c r="B363" s="934" t="s">
        <v>477</v>
      </c>
      <c r="C363" s="759" t="s">
        <v>1589</v>
      </c>
      <c r="D363" s="911" t="s">
        <v>1679</v>
      </c>
      <c r="E363" s="763" t="s">
        <v>1590</v>
      </c>
      <c r="F363" s="785" t="s">
        <v>1586</v>
      </c>
    </row>
    <row r="364" spans="1:6" ht="15.75" thickBot="1" x14ac:dyDescent="0.3">
      <c r="A364" s="843" t="s">
        <v>1583</v>
      </c>
      <c r="B364" s="946" t="s">
        <v>1591</v>
      </c>
      <c r="C364" s="964" t="s">
        <v>1592</v>
      </c>
      <c r="D364" s="912">
        <v>15</v>
      </c>
      <c r="E364" s="845" t="s">
        <v>1593</v>
      </c>
      <c r="F364" s="879" t="s">
        <v>1499</v>
      </c>
    </row>
    <row r="365" spans="1:6" ht="270.75" thickBot="1" x14ac:dyDescent="0.3">
      <c r="A365" s="794" t="s">
        <v>433</v>
      </c>
      <c r="B365" s="930" t="str">
        <f>'MODELLO DOGANE'!B122</f>
        <v>NOTA</v>
      </c>
      <c r="C365" s="969" t="s">
        <v>1594</v>
      </c>
      <c r="D365" s="970" t="str">
        <f>'MODELLO DOGANE'!D122</f>
        <v>AAAAAAAAAAAAAAAAAAAAAAAAAAAAABBBBBBBBBBBBBBBBBBBBBBBBBBBBBBBBBBBBBCCCCCCCCCCCCCCCCCCCCCCCCCCCCCCCCCCCCCCCDDDDDDDDDDDDDDDDDDDDDDDDDDDDDDDDDDDDEEEEEEEEEEEEEEEEEEEEEEEEEEEEEEEEEFFFFFFFFFFFFFFFFFFFFFFFGGGGGGGGGGGGGGGGGGGGGGGGGGGGGGGGGGGHHHHHHHHHHHHHHHHHHHHHHHHHHHHHHHHHHHHHIIIIIIIIIIIIIIIIIIIIIIIIIIIIIIIIIIIIILLLLLLLLLLLLLLLLLLLLLLLMMMMMMMMMMMMMMMNNNNNNNNNNNNNNNNNNNNNNOOOOOOOOOOOOOOOOPPPPPPPPPPPPPPPPQQQQQQQQQQQQQRRRRRRRRRRRRRRRSSSSSSSSSSSSSTTTTTTTTTTTTTTUUUUUUUUUUUUUVVVVVVVVVVVVVVVVV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XXXXXXXXXXXXXXXXXXXXXXXXXWWWWWWWWWWWWWWWWWWWWWWWWWYYYYYYYYYYYYYYYYYYYYYYYYYYYYYYYYYYYYYYYYYYYYYYYYYYYYYYYYYYYYY</v>
      </c>
      <c r="E365" s="795" t="s">
        <v>1595</v>
      </c>
      <c r="F365" s="825" t="s">
        <v>1596</v>
      </c>
    </row>
    <row r="366" spans="1:6" ht="15.75" thickBot="1" x14ac:dyDescent="0.3">
      <c r="A366" s="882" t="s">
        <v>1253</v>
      </c>
      <c r="B366" s="937" t="str">
        <f>'MODELLO DOGANE'!B129</f>
        <v>Nome del Tecnico Verificatore:</v>
      </c>
      <c r="C366" s="963" t="s">
        <v>1680</v>
      </c>
      <c r="D366" s="908" t="str">
        <f>LOOKUP('MODELLO DOGANE'!B130,TABELLE!B3:B15,TABELLE!C3:C15)</f>
        <v>PZZCST69C06B157V</v>
      </c>
      <c r="E366" s="883" t="s">
        <v>1597</v>
      </c>
      <c r="F366" s="884"/>
    </row>
    <row r="367" spans="1:6" ht="15.75" thickBot="1" x14ac:dyDescent="0.3">
      <c r="A367" s="847" t="s">
        <v>1253</v>
      </c>
      <c r="B367" s="933" t="str">
        <f>'MODELLO DOGANE'!Q129</f>
        <v>Il Responsabile del Centro</v>
      </c>
      <c r="C367" s="976" t="s">
        <v>1681</v>
      </c>
      <c r="D367" s="977" t="str">
        <f>LOOKUP('MODELLO DOGANE'!Q130,TABELLE!B19:B23,TABELLE!C19:C23)</f>
        <v>MDGMRA69C11B157F</v>
      </c>
      <c r="E367" s="849" t="s">
        <v>1597</v>
      </c>
      <c r="F367" s="978"/>
    </row>
    <row r="368" spans="1:6" x14ac:dyDescent="0.25">
      <c r="A368" s="979" t="s">
        <v>1708</v>
      </c>
      <c r="B368" s="990" t="s">
        <v>1688</v>
      </c>
      <c r="C368" s="980" t="s">
        <v>1696</v>
      </c>
      <c r="D368" s="981" t="s">
        <v>1350</v>
      </c>
      <c r="E368" s="982"/>
      <c r="F368" s="983"/>
    </row>
    <row r="369" spans="1:6" x14ac:dyDescent="0.25">
      <c r="A369" s="984" t="s">
        <v>1708</v>
      </c>
      <c r="B369" s="991" t="s">
        <v>1689</v>
      </c>
      <c r="C369" s="985" t="s">
        <v>1690</v>
      </c>
      <c r="D369" s="986" t="s">
        <v>1704</v>
      </c>
      <c r="E369" s="987"/>
      <c r="F369" s="988"/>
    </row>
    <row r="370" spans="1:6" x14ac:dyDescent="0.25">
      <c r="A370" s="984" t="s">
        <v>1708</v>
      </c>
      <c r="B370" s="991" t="s">
        <v>1697</v>
      </c>
      <c r="C370" s="985" t="s">
        <v>1691</v>
      </c>
      <c r="D370" s="989" t="s">
        <v>1705</v>
      </c>
      <c r="E370" s="987"/>
      <c r="F370" s="988"/>
    </row>
    <row r="371" spans="1:6" x14ac:dyDescent="0.25">
      <c r="A371" s="984" t="s">
        <v>1708</v>
      </c>
      <c r="B371" s="991" t="s">
        <v>1698</v>
      </c>
      <c r="C371" s="985" t="s">
        <v>1692</v>
      </c>
      <c r="D371" s="989" t="s">
        <v>1706</v>
      </c>
      <c r="E371" s="987"/>
      <c r="F371" s="988"/>
    </row>
    <row r="372" spans="1:6" x14ac:dyDescent="0.25">
      <c r="A372" s="984" t="s">
        <v>1708</v>
      </c>
      <c r="B372" s="991" t="s">
        <v>1699</v>
      </c>
      <c r="C372" s="985" t="s">
        <v>1693</v>
      </c>
      <c r="D372" s="989" t="s">
        <v>1707</v>
      </c>
      <c r="E372" s="987"/>
      <c r="F372" s="988"/>
    </row>
    <row r="373" spans="1:6" ht="15.75" thickBot="1" x14ac:dyDescent="0.3">
      <c r="A373" s="992" t="s">
        <v>1708</v>
      </c>
      <c r="B373" s="993" t="s">
        <v>1700</v>
      </c>
      <c r="C373" s="994" t="s">
        <v>1694</v>
      </c>
      <c r="D373" s="995">
        <v>25127</v>
      </c>
      <c r="E373" s="996"/>
      <c r="F373" s="997"/>
    </row>
    <row r="374" spans="1:6" x14ac:dyDescent="0.25">
      <c r="A374" s="1004" t="s">
        <v>1709</v>
      </c>
      <c r="B374" s="1005" t="s">
        <v>1710</v>
      </c>
      <c r="C374" s="1006" t="s">
        <v>1715</v>
      </c>
      <c r="D374" s="1007" t="s">
        <v>1716</v>
      </c>
      <c r="E374" s="1008" t="s">
        <v>1717</v>
      </c>
      <c r="F374" s="1009"/>
    </row>
    <row r="375" spans="1:6" x14ac:dyDescent="0.25">
      <c r="A375" s="1010" t="s">
        <v>1709</v>
      </c>
      <c r="B375" s="998" t="s">
        <v>1712</v>
      </c>
      <c r="C375" s="999" t="s">
        <v>1720</v>
      </c>
      <c r="D375" s="1000" t="s">
        <v>1736</v>
      </c>
      <c r="E375" s="1001" t="s">
        <v>1737</v>
      </c>
      <c r="F375" s="1011"/>
    </row>
    <row r="376" spans="1:6" x14ac:dyDescent="0.25">
      <c r="A376" s="1010" t="s">
        <v>1709</v>
      </c>
      <c r="B376" s="998" t="s">
        <v>1711</v>
      </c>
      <c r="C376" s="999" t="s">
        <v>1718</v>
      </c>
      <c r="D376" s="1000" t="s">
        <v>1231</v>
      </c>
      <c r="E376" s="1002"/>
      <c r="F376" s="1012" t="s">
        <v>1719</v>
      </c>
    </row>
    <row r="377" spans="1:6" x14ac:dyDescent="0.25">
      <c r="A377" s="1010" t="s">
        <v>1709</v>
      </c>
      <c r="B377" s="998" t="s">
        <v>1713</v>
      </c>
      <c r="C377" s="999" t="s">
        <v>1721</v>
      </c>
      <c r="D377" s="1000">
        <v>117</v>
      </c>
      <c r="E377" s="1001" t="s">
        <v>1725</v>
      </c>
      <c r="F377" s="1011"/>
    </row>
    <row r="378" spans="1:6" x14ac:dyDescent="0.25">
      <c r="A378" s="1010" t="s">
        <v>1709</v>
      </c>
      <c r="B378" s="998" t="s">
        <v>1714</v>
      </c>
      <c r="C378" s="999" t="s">
        <v>1722</v>
      </c>
      <c r="D378" s="1000" t="s">
        <v>1723</v>
      </c>
      <c r="E378" s="1001" t="s">
        <v>1724</v>
      </c>
      <c r="F378" s="1011"/>
    </row>
    <row r="379" spans="1:6" x14ac:dyDescent="0.25">
      <c r="A379" s="1010" t="s">
        <v>1709</v>
      </c>
      <c r="B379" s="998" t="s">
        <v>1728</v>
      </c>
      <c r="C379" s="999" t="s">
        <v>1734</v>
      </c>
      <c r="D379" s="1003" t="s">
        <v>1095</v>
      </c>
      <c r="E379" s="1002"/>
      <c r="F379" s="1011"/>
    </row>
    <row r="380" spans="1:6" x14ac:dyDescent="0.25">
      <c r="A380" s="1010" t="s">
        <v>1709</v>
      </c>
      <c r="B380" s="998" t="s">
        <v>1726</v>
      </c>
      <c r="C380" s="999" t="s">
        <v>1727</v>
      </c>
      <c r="D380" s="1000">
        <v>53822</v>
      </c>
      <c r="E380" s="1002"/>
      <c r="F380" s="1011"/>
    </row>
    <row r="381" spans="1:6" x14ac:dyDescent="0.25">
      <c r="A381" s="1010" t="s">
        <v>1709</v>
      </c>
      <c r="B381" s="998" t="s">
        <v>1729</v>
      </c>
      <c r="C381" s="999" t="s">
        <v>1730</v>
      </c>
      <c r="D381" s="1000">
        <v>3321100159</v>
      </c>
      <c r="E381" s="1001" t="s">
        <v>1731</v>
      </c>
      <c r="F381" s="1012"/>
    </row>
    <row r="382" spans="1:6" x14ac:dyDescent="0.25">
      <c r="A382" s="1010" t="s">
        <v>1709</v>
      </c>
      <c r="B382" s="998" t="s">
        <v>1732</v>
      </c>
      <c r="C382" s="999" t="s">
        <v>1733</v>
      </c>
      <c r="D382" s="1000" t="s">
        <v>882</v>
      </c>
      <c r="E382" s="1001" t="s">
        <v>1735</v>
      </c>
      <c r="F382" s="1011"/>
    </row>
    <row r="383" spans="1:6" x14ac:dyDescent="0.25">
      <c r="A383" s="1010" t="s">
        <v>1709</v>
      </c>
      <c r="B383" s="998" t="s">
        <v>1738</v>
      </c>
      <c r="C383" s="999" t="s">
        <v>1739</v>
      </c>
      <c r="D383" s="1000">
        <v>4</v>
      </c>
      <c r="E383" s="1001" t="s">
        <v>1740</v>
      </c>
      <c r="F383" s="1011"/>
    </row>
    <row r="384" spans="1:6" x14ac:dyDescent="0.25">
      <c r="A384" s="1010" t="s">
        <v>1709</v>
      </c>
      <c r="B384" s="998" t="s">
        <v>1741</v>
      </c>
      <c r="C384" s="999" t="s">
        <v>1742</v>
      </c>
      <c r="D384" s="1000">
        <v>4</v>
      </c>
      <c r="E384" s="1001" t="s">
        <v>1740</v>
      </c>
      <c r="F384" s="1011"/>
    </row>
    <row r="385" spans="1:6" x14ac:dyDescent="0.25">
      <c r="A385" s="1017" t="s">
        <v>1709</v>
      </c>
      <c r="B385" s="1018" t="s">
        <v>1743</v>
      </c>
      <c r="C385" s="1019" t="s">
        <v>1744</v>
      </c>
      <c r="D385" s="1020">
        <v>2</v>
      </c>
      <c r="E385" s="1021" t="s">
        <v>1745</v>
      </c>
      <c r="F385" s="1022"/>
    </row>
    <row r="386" spans="1:6" x14ac:dyDescent="0.25">
      <c r="A386" s="1010" t="s">
        <v>1753</v>
      </c>
      <c r="B386" s="998" t="s">
        <v>1749</v>
      </c>
      <c r="C386" s="999" t="s">
        <v>1750</v>
      </c>
      <c r="D386" s="1001" t="s">
        <v>1751</v>
      </c>
      <c r="E386" s="1001" t="s">
        <v>1754</v>
      </c>
      <c r="F386" s="1012" t="s">
        <v>1752</v>
      </c>
    </row>
    <row r="387" spans="1:6" ht="15.75" thickBot="1" x14ac:dyDescent="0.3">
      <c r="A387" s="1013" t="s">
        <v>1753</v>
      </c>
      <c r="B387" s="1014" t="s">
        <v>1755</v>
      </c>
      <c r="C387" s="1015" t="s">
        <v>1756</v>
      </c>
      <c r="D387" s="1014" t="s">
        <v>1757</v>
      </c>
      <c r="E387" s="1023"/>
      <c r="F387" s="1016"/>
    </row>
  </sheetData>
  <phoneticPr fontId="6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44"/>
  <sheetViews>
    <sheetView view="pageBreakPreview" zoomScaleSheetLayoutView="100" workbookViewId="0">
      <selection activeCell="AA15" sqref="AA15"/>
    </sheetView>
  </sheetViews>
  <sheetFormatPr defaultColWidth="5.7109375" defaultRowHeight="15" x14ac:dyDescent="0.25"/>
  <cols>
    <col min="1" max="21" width="5.7109375" style="1" customWidth="1"/>
    <col min="22" max="16384" width="5.7109375" style="1"/>
  </cols>
  <sheetData>
    <row r="1" spans="1:21" x14ac:dyDescent="0.2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row>
    <row r="2" spans="1:21" x14ac:dyDescent="0.25">
      <c r="A2" s="1">
        <v>1</v>
      </c>
      <c r="P2" s="1607"/>
      <c r="Q2" s="1607"/>
      <c r="R2" s="1607"/>
      <c r="S2" s="1607"/>
      <c r="T2" s="1607"/>
      <c r="U2" s="1607"/>
    </row>
    <row r="3" spans="1:21" x14ac:dyDescent="0.25">
      <c r="A3" s="1">
        <v>2</v>
      </c>
      <c r="P3" s="1607"/>
      <c r="Q3" s="1607"/>
      <c r="R3" s="1607"/>
      <c r="S3" s="1607"/>
      <c r="T3" s="1607"/>
      <c r="U3" s="1607"/>
    </row>
    <row r="4" spans="1:21" x14ac:dyDescent="0.25">
      <c r="A4" s="1">
        <v>3</v>
      </c>
      <c r="P4" s="1607"/>
      <c r="Q4" s="1607"/>
      <c r="R4" s="1607"/>
      <c r="S4" s="1607"/>
      <c r="T4" s="1607"/>
      <c r="U4" s="1607"/>
    </row>
    <row r="5" spans="1:21" x14ac:dyDescent="0.25">
      <c r="A5" s="1">
        <v>4</v>
      </c>
      <c r="P5" s="1607"/>
      <c r="Q5" s="1607"/>
      <c r="R5" s="1607"/>
      <c r="S5" s="1607"/>
      <c r="T5" s="1607"/>
      <c r="U5" s="1607"/>
    </row>
    <row r="6" spans="1:21" x14ac:dyDescent="0.25">
      <c r="A6" s="1">
        <v>5</v>
      </c>
      <c r="P6" s="1607"/>
      <c r="Q6" s="1607"/>
      <c r="R6" s="1607"/>
      <c r="S6" s="1607"/>
      <c r="T6" s="1607"/>
      <c r="U6" s="1607"/>
    </row>
    <row r="7" spans="1:21" x14ac:dyDescent="0.25">
      <c r="A7" s="1">
        <v>6</v>
      </c>
      <c r="P7" s="1607"/>
      <c r="Q7" s="1607"/>
      <c r="R7" s="1607"/>
      <c r="S7" s="1607"/>
      <c r="T7" s="1607"/>
      <c r="U7" s="1607"/>
    </row>
    <row r="8" spans="1:21" x14ac:dyDescent="0.25">
      <c r="A8" s="1">
        <v>7</v>
      </c>
      <c r="P8" s="1607"/>
      <c r="Q8" s="1607"/>
      <c r="R8" s="1607"/>
      <c r="S8" s="1607"/>
      <c r="T8" s="1607"/>
      <c r="U8" s="1607"/>
    </row>
    <row r="9" spans="1:21" x14ac:dyDescent="0.25">
      <c r="A9" s="1">
        <v>8</v>
      </c>
      <c r="P9" s="1607"/>
      <c r="Q9" s="1607"/>
      <c r="R9" s="1607"/>
      <c r="S9" s="1607"/>
      <c r="T9" s="1607"/>
      <c r="U9" s="1607"/>
    </row>
    <row r="10" spans="1:21" x14ac:dyDescent="0.25">
      <c r="A10" s="1">
        <v>9</v>
      </c>
      <c r="B10" s="1623" t="s">
        <v>390</v>
      </c>
      <c r="C10" s="1623"/>
      <c r="D10" s="1623"/>
      <c r="E10" s="1623"/>
      <c r="F10" s="1623"/>
      <c r="G10" s="1623" t="s">
        <v>595</v>
      </c>
      <c r="H10" s="1624"/>
      <c r="I10" s="1624"/>
      <c r="J10" s="1624"/>
      <c r="K10" s="1624"/>
      <c r="L10" s="1624"/>
      <c r="M10" s="1624"/>
      <c r="N10" s="1624"/>
      <c r="P10" s="1607"/>
      <c r="Q10" s="1607"/>
      <c r="R10" s="1607"/>
      <c r="S10" s="1607"/>
      <c r="T10" s="1607"/>
      <c r="U10" s="1607"/>
    </row>
    <row r="11" spans="1:21" x14ac:dyDescent="0.25">
      <c r="A11" s="1">
        <v>10</v>
      </c>
      <c r="B11" s="1623" t="s">
        <v>391</v>
      </c>
      <c r="C11" s="1623"/>
      <c r="D11" s="1623"/>
      <c r="E11" s="1623"/>
      <c r="F11" s="1623"/>
      <c r="G11" s="1625" t="s">
        <v>596</v>
      </c>
      <c r="H11" s="1625"/>
      <c r="I11" s="1625"/>
      <c r="J11" s="1625"/>
      <c r="K11" s="1625"/>
      <c r="L11" s="1625"/>
      <c r="M11" s="1625"/>
      <c r="N11" s="1625"/>
    </row>
    <row r="12" spans="1:21" x14ac:dyDescent="0.25">
      <c r="A12" s="1">
        <v>11</v>
      </c>
      <c r="G12" s="1625"/>
      <c r="H12" s="1625"/>
      <c r="I12" s="1625"/>
      <c r="J12" s="1625"/>
      <c r="K12" s="1625"/>
      <c r="L12" s="1625"/>
      <c r="M12" s="1625"/>
      <c r="N12" s="1625"/>
      <c r="P12" s="1451"/>
      <c r="Q12" s="1606"/>
      <c r="R12" s="1606"/>
      <c r="S12" s="1606"/>
      <c r="T12" s="1606"/>
      <c r="U12" s="1452"/>
    </row>
    <row r="13" spans="1:21" x14ac:dyDescent="0.25">
      <c r="A13" s="1">
        <v>12</v>
      </c>
      <c r="B13" s="1600" t="s">
        <v>750</v>
      </c>
      <c r="C13" s="1600"/>
      <c r="D13" s="1600"/>
      <c r="E13" s="1600"/>
      <c r="F13" s="1600"/>
      <c r="G13" s="1600"/>
      <c r="H13" s="1600"/>
      <c r="I13" s="1600"/>
      <c r="J13" s="1600"/>
      <c r="K13" s="1600"/>
      <c r="L13" s="1600"/>
      <c r="M13" s="1600"/>
      <c r="P13" s="1453"/>
      <c r="Q13" s="1607"/>
      <c r="R13" s="1607"/>
      <c r="S13" s="1607"/>
      <c r="T13" s="1607"/>
      <c r="U13" s="1454"/>
    </row>
    <row r="14" spans="1:21" x14ac:dyDescent="0.25">
      <c r="A14" s="1">
        <v>13</v>
      </c>
      <c r="P14" s="1453"/>
      <c r="Q14" s="1607"/>
      <c r="R14" s="1607"/>
      <c r="S14" s="1607"/>
      <c r="T14" s="1607"/>
      <c r="U14" s="1454"/>
    </row>
    <row r="15" spans="1:21" x14ac:dyDescent="0.25">
      <c r="A15" s="1">
        <v>14</v>
      </c>
      <c r="P15" s="1453"/>
      <c r="Q15" s="1607"/>
      <c r="R15" s="1607"/>
      <c r="S15" s="1607"/>
      <c r="T15" s="1607"/>
      <c r="U15" s="1454"/>
    </row>
    <row r="16" spans="1:21" x14ac:dyDescent="0.25">
      <c r="A16" s="1">
        <v>15</v>
      </c>
      <c r="B16" s="111" t="s">
        <v>393</v>
      </c>
      <c r="C16" s="1403" t="str">
        <f>IF(AND('DATI INGRESSO'!$D$17="X",'DATI INGRESSO'!$D$20="X"),'DATI INGRESSO'!C8:D8,"X")</f>
        <v>X</v>
      </c>
      <c r="D16" s="1404"/>
      <c r="E16" s="1601"/>
      <c r="G16" s="1" t="s">
        <v>394</v>
      </c>
      <c r="H16" s="1602" t="str">
        <f>IF(AND('DATI INGRESSO'!$D$17="X",'DATI INGRESSO'!$D$20="X"),'DATI INGRESSO'!H7,"X")</f>
        <v>X</v>
      </c>
      <c r="I16" s="1603"/>
      <c r="K16" s="1" t="s">
        <v>395</v>
      </c>
      <c r="M16" s="1403" t="str">
        <f>IF(AND('DATI INGRESSO'!$D$17="X",'DATI INGRESSO'!$D$20="X"),'DATI INGRESSO'!H15,"X")</f>
        <v>X</v>
      </c>
      <c r="N16" s="1601"/>
      <c r="P16" s="1453"/>
      <c r="Q16" s="1607"/>
      <c r="R16" s="1607"/>
      <c r="S16" s="1607"/>
      <c r="T16" s="1607"/>
      <c r="U16" s="1454"/>
    </row>
    <row r="17" spans="1:21" x14ac:dyDescent="0.25">
      <c r="A17" s="1">
        <v>16</v>
      </c>
      <c r="P17" s="1453"/>
      <c r="Q17" s="1607"/>
      <c r="R17" s="1607"/>
      <c r="S17" s="1607"/>
      <c r="T17" s="1607"/>
      <c r="U17" s="1454"/>
    </row>
    <row r="18" spans="1:21" ht="15.75" thickBot="1" x14ac:dyDescent="0.3">
      <c r="A18" s="1">
        <v>17</v>
      </c>
      <c r="P18" s="1453"/>
      <c r="Q18" s="1607"/>
      <c r="R18" s="1607"/>
      <c r="S18" s="1607"/>
      <c r="T18" s="1607"/>
      <c r="U18" s="1454"/>
    </row>
    <row r="19" spans="1:21" ht="15.75" thickBot="1" x14ac:dyDescent="0.3">
      <c r="A19" s="1">
        <v>18</v>
      </c>
      <c r="B19" s="1618" t="s">
        <v>751</v>
      </c>
      <c r="C19" s="1619"/>
      <c r="D19" s="1619"/>
      <c r="E19" s="1620"/>
      <c r="F19" s="1738" t="str">
        <f>IF(AND('DATI INGRESSO'!$D$17="X",'DATI INGRESSO'!$D$20="X"),'DATI INGRESSO'!H10,"X")</f>
        <v>X</v>
      </c>
      <c r="G19" s="1568"/>
      <c r="J19" s="10"/>
      <c r="P19" s="1453"/>
      <c r="Q19" s="1607"/>
      <c r="R19" s="1607"/>
      <c r="S19" s="1607"/>
      <c r="T19" s="1607"/>
      <c r="U19" s="1454"/>
    </row>
    <row r="20" spans="1:21" x14ac:dyDescent="0.25">
      <c r="A20" s="1">
        <v>19</v>
      </c>
      <c r="P20" s="1453"/>
      <c r="Q20" s="1607"/>
      <c r="R20" s="1607"/>
      <c r="S20" s="1607"/>
      <c r="T20" s="1607"/>
      <c r="U20" s="1454"/>
    </row>
    <row r="21" spans="1:21" x14ac:dyDescent="0.25">
      <c r="A21" s="1">
        <v>20</v>
      </c>
      <c r="B21" s="1600" t="s">
        <v>397</v>
      </c>
      <c r="C21" s="1600"/>
      <c r="D21" s="1600"/>
      <c r="E21" s="1600"/>
      <c r="F21" s="1600"/>
      <c r="G21" s="1600"/>
      <c r="H21" s="1600"/>
      <c r="I21" s="1600"/>
      <c r="J21" s="1600"/>
      <c r="K21" s="1600"/>
      <c r="L21" s="1600"/>
      <c r="P21" s="1455"/>
      <c r="Q21" s="1608"/>
      <c r="R21" s="1608"/>
      <c r="S21" s="1608"/>
      <c r="T21" s="1608"/>
      <c r="U21" s="1456"/>
    </row>
    <row r="22" spans="1:21" ht="8.25" customHeight="1" thickBot="1" x14ac:dyDescent="0.3">
      <c r="A22" s="1">
        <v>21</v>
      </c>
    </row>
    <row r="23" spans="1:21" x14ac:dyDescent="0.25">
      <c r="A23" s="1">
        <v>22</v>
      </c>
      <c r="B23" s="1653" t="s">
        <v>398</v>
      </c>
      <c r="C23" s="1654"/>
      <c r="D23" s="1654"/>
      <c r="E23" s="1630"/>
      <c r="F23" s="1656" t="str">
        <f>IF(AND('DATI INGRESSO'!$D$17="X",'DATI INGRESSO'!$D$20="X"),'DATI INGRESSO'!I24,"X")</f>
        <v>X</v>
      </c>
      <c r="G23" s="1657"/>
      <c r="H23" s="1657"/>
      <c r="I23" s="1657"/>
      <c r="J23" s="1657"/>
      <c r="K23" s="1657"/>
      <c r="L23" s="1657"/>
      <c r="M23" s="1657"/>
      <c r="N23" s="1657"/>
      <c r="O23" s="1658"/>
      <c r="P23" s="1637" t="s">
        <v>406</v>
      </c>
      <c r="Q23" s="1638"/>
      <c r="R23" s="1655" t="str">
        <f>IF(AND('DATI INGRESSO'!$D$17="X",'DATI INGRESSO'!$D$20="X"), 'DATI INGRESSO'!I38, "X")</f>
        <v>X</v>
      </c>
      <c r="S23" s="1500"/>
      <c r="T23" s="1500"/>
      <c r="U23" s="1501"/>
    </row>
    <row r="24" spans="1:21" x14ac:dyDescent="0.25">
      <c r="A24" s="1">
        <v>23</v>
      </c>
      <c r="B24" s="1639" t="s">
        <v>399</v>
      </c>
      <c r="C24" s="1640"/>
      <c r="D24" s="1640"/>
      <c r="E24" s="1610"/>
      <c r="F24" s="1631" t="str">
        <f>IF(AND('DATI INGRESSO'!$D$17="X",'DATI INGRESSO'!$D$20="X"),'DATI INGRESSO'!C28,"X")</f>
        <v>X</v>
      </c>
      <c r="G24" s="1632"/>
      <c r="H24" s="1632"/>
      <c r="I24" s="1632"/>
      <c r="J24" s="1632"/>
      <c r="K24" s="1632"/>
      <c r="L24" s="1632"/>
      <c r="M24" s="1632"/>
      <c r="N24" s="1632"/>
      <c r="O24" s="1632"/>
      <c r="P24" s="1632"/>
      <c r="Q24" s="1632"/>
      <c r="R24" s="1632"/>
      <c r="S24" s="1632"/>
      <c r="T24" s="1632"/>
      <c r="U24" s="1633"/>
    </row>
    <row r="25" spans="1:21" x14ac:dyDescent="0.25">
      <c r="A25" s="1">
        <v>24</v>
      </c>
      <c r="B25" s="1639" t="s">
        <v>400</v>
      </c>
      <c r="C25" s="1640"/>
      <c r="D25" s="1640"/>
      <c r="E25" s="1610"/>
      <c r="F25" s="1631" t="str">
        <f>IF(AND('DATI INGRESSO'!$D$17="X",'DATI INGRESSO'!$D$20="X"),'DATI INGRESSO'!C32,"X")</f>
        <v>X</v>
      </c>
      <c r="G25" s="1632"/>
      <c r="H25" s="1632"/>
      <c r="I25" s="1632"/>
      <c r="J25" s="1632"/>
      <c r="K25" s="1632"/>
      <c r="L25" s="1632"/>
      <c r="M25" s="1632"/>
      <c r="N25" s="1632"/>
      <c r="O25" s="1632"/>
      <c r="P25" s="1632"/>
      <c r="Q25" s="1632"/>
      <c r="R25" s="1632"/>
      <c r="S25" s="1632"/>
      <c r="T25" s="1632"/>
      <c r="U25" s="1633"/>
    </row>
    <row r="26" spans="1:21" x14ac:dyDescent="0.25">
      <c r="A26" s="1">
        <v>25</v>
      </c>
      <c r="B26" s="1639" t="s">
        <v>401</v>
      </c>
      <c r="C26" s="1640"/>
      <c r="D26" s="1640"/>
      <c r="E26" s="1610"/>
      <c r="F26" s="1631" t="str">
        <f>IF(AND('DATI INGRESSO'!$D$17="X",'DATI INGRESSO'!$D$20="X"),'DATI INGRESSO'!C36,"X")</f>
        <v>X</v>
      </c>
      <c r="G26" s="1632"/>
      <c r="H26" s="1632"/>
      <c r="I26" s="1632"/>
      <c r="J26" s="1632"/>
      <c r="K26" s="1632"/>
      <c r="L26" s="1632"/>
      <c r="M26" s="1632"/>
      <c r="N26" s="1632"/>
      <c r="O26" s="1632"/>
      <c r="P26" s="1632"/>
      <c r="Q26" s="1632"/>
      <c r="R26" s="1632"/>
      <c r="S26" s="1632"/>
      <c r="T26" s="1632"/>
      <c r="U26" s="1633"/>
    </row>
    <row r="27" spans="1:21" x14ac:dyDescent="0.25">
      <c r="A27" s="1">
        <v>26</v>
      </c>
      <c r="B27" s="1639" t="s">
        <v>402</v>
      </c>
      <c r="C27" s="1640"/>
      <c r="D27" s="1640"/>
      <c r="E27" s="1610"/>
      <c r="F27" s="1631" t="str">
        <f>IF(AND('DATI INGRESSO'!$D$17="X",'DATI INGRESSO'!$D$20="X"),'DATI INGRESSO'!C42,"X")</f>
        <v>X</v>
      </c>
      <c r="G27" s="1632"/>
      <c r="H27" s="1632"/>
      <c r="I27" s="1632"/>
      <c r="J27" s="1632"/>
      <c r="K27" s="1632"/>
      <c r="L27" s="1632"/>
      <c r="M27" s="1632"/>
      <c r="N27" s="1632"/>
      <c r="O27" s="1632"/>
      <c r="P27" s="1632"/>
      <c r="Q27" s="1632"/>
      <c r="R27" s="1632"/>
      <c r="S27" s="1632"/>
      <c r="T27" s="1632"/>
      <c r="U27" s="1633"/>
    </row>
    <row r="28" spans="1:21" x14ac:dyDescent="0.25">
      <c r="A28" s="1">
        <v>27</v>
      </c>
      <c r="B28" s="1639" t="s">
        <v>403</v>
      </c>
      <c r="C28" s="1640"/>
      <c r="D28" s="1640"/>
      <c r="E28" s="1610"/>
      <c r="F28" s="1631" t="str">
        <f>IF(AND('DATI INGRESSO'!$D$17="X",'DATI INGRESSO'!$D$20="X"),'DATI INGRESSO'!C46,"X")</f>
        <v>X</v>
      </c>
      <c r="G28" s="1632"/>
      <c r="H28" s="1632"/>
      <c r="I28" s="1632"/>
      <c r="J28" s="1632"/>
      <c r="K28" s="1632"/>
      <c r="L28" s="1632"/>
      <c r="M28" s="1632"/>
      <c r="N28" s="1632"/>
      <c r="O28" s="1632"/>
      <c r="P28" s="1632"/>
      <c r="Q28" s="1632"/>
      <c r="R28" s="1632"/>
      <c r="S28" s="1632"/>
      <c r="T28" s="1632"/>
      <c r="U28" s="1633"/>
    </row>
    <row r="29" spans="1:21" x14ac:dyDescent="0.25">
      <c r="A29" s="1">
        <v>28</v>
      </c>
      <c r="B29" s="1639" t="s">
        <v>404</v>
      </c>
      <c r="C29" s="1640"/>
      <c r="D29" s="1640"/>
      <c r="E29" s="1610"/>
      <c r="F29" s="1631" t="str">
        <f>IF(AND('DATI INGRESSO'!$D$17="X",'DATI INGRESSO'!$D$20="X"),IF('DATI INGRESSO'!F50="X",'DATI INGRESSO'!D48,IF('DATI INGRESSO'!I50="X",'DATI INGRESSO'!G48,IF('DATI INGRESSO'!L50="X",'DATI INGRESSO'!J48))),"X")</f>
        <v>X</v>
      </c>
      <c r="G29" s="1632"/>
      <c r="H29" s="1632"/>
      <c r="I29" s="1632"/>
      <c r="J29" s="1632"/>
      <c r="K29" s="1632"/>
      <c r="L29" s="1632"/>
      <c r="M29" s="1632"/>
      <c r="N29" s="1632"/>
      <c r="O29" s="1632"/>
      <c r="P29" s="1632"/>
      <c r="Q29" s="1632"/>
      <c r="R29" s="1632"/>
      <c r="S29" s="1632"/>
      <c r="T29" s="1632"/>
      <c r="U29" s="1633"/>
    </row>
    <row r="30" spans="1:21" ht="15.75" thickBot="1" x14ac:dyDescent="0.3">
      <c r="A30" s="1">
        <v>29</v>
      </c>
      <c r="B30" s="1649" t="s">
        <v>405</v>
      </c>
      <c r="C30" s="1650"/>
      <c r="D30" s="1650"/>
      <c r="E30" s="1651"/>
      <c r="F30" s="1634" t="str">
        <f>IF(AND('DATI INGRESSO'!$D$17="X",'DATI INGRESSO'!$D$20="X"),'DATI INGRESSO'!C53,"X")</f>
        <v>X</v>
      </c>
      <c r="G30" s="1635"/>
      <c r="H30" s="1635"/>
      <c r="I30" s="1635"/>
      <c r="J30" s="1635"/>
      <c r="K30" s="1635"/>
      <c r="L30" s="1635"/>
      <c r="M30" s="1635"/>
      <c r="N30" s="1635"/>
      <c r="O30" s="1636"/>
      <c r="P30" s="1641" t="s">
        <v>407</v>
      </c>
      <c r="Q30" s="1642"/>
      <c r="R30" s="1664" t="str">
        <f>IF(AND('DATI INGRESSO'!$D$17="X",'DATI INGRESSO'!$D$20="X"), 'DATI INGRESSO'!J54, "X")</f>
        <v>X</v>
      </c>
      <c r="S30" s="1665"/>
      <c r="T30" s="1665"/>
      <c r="U30" s="1666"/>
    </row>
    <row r="31" spans="1:21" x14ac:dyDescent="0.25">
      <c r="A31" s="1">
        <v>30</v>
      </c>
    </row>
    <row r="32" spans="1:21" x14ac:dyDescent="0.25">
      <c r="A32" s="1">
        <v>31</v>
      </c>
      <c r="B32" s="1600" t="s">
        <v>408</v>
      </c>
      <c r="C32" s="1600"/>
      <c r="D32" s="1600"/>
      <c r="E32" s="1600"/>
      <c r="F32" s="1600"/>
      <c r="G32" s="1600"/>
      <c r="H32" s="1600"/>
      <c r="I32" s="1600"/>
      <c r="J32" s="1600"/>
      <c r="K32" s="1600"/>
      <c r="L32" s="1600"/>
      <c r="M32" s="1600"/>
      <c r="N32" s="1600"/>
      <c r="O32" s="1600"/>
      <c r="P32" s="1600"/>
      <c r="Q32" s="1600"/>
    </row>
    <row r="33" spans="1:21" ht="7.5" customHeight="1" thickBot="1" x14ac:dyDescent="0.3">
      <c r="A33" s="1">
        <v>32</v>
      </c>
    </row>
    <row r="34" spans="1:21" x14ac:dyDescent="0.25">
      <c r="A34" s="1">
        <v>33</v>
      </c>
      <c r="B34" s="1643" t="s">
        <v>423</v>
      </c>
      <c r="C34" s="1644"/>
      <c r="D34" s="1629" t="s">
        <v>410</v>
      </c>
      <c r="E34" s="1630"/>
      <c r="F34" s="1626" t="str">
        <f>IF(AND('DATI INGRESSO'!$D$17="X",'DATI INGRESSO'!$D$20="X"),'DATI INGRESSO'!C58,"X")</f>
        <v>X</v>
      </c>
      <c r="G34" s="1627"/>
      <c r="H34" s="1627"/>
      <c r="I34" s="1652"/>
      <c r="J34" s="1629" t="s">
        <v>413</v>
      </c>
      <c r="K34" s="1654"/>
      <c r="L34" s="1630"/>
      <c r="M34" s="1626" t="str">
        <f>IF(AND('DATI INGRESSO'!$D$17="X",'DATI INGRESSO'!$D$20="X"),'DATI INGRESSO'!H188,"X")</f>
        <v>X</v>
      </c>
      <c r="N34" s="1627"/>
      <c r="O34" s="1627"/>
      <c r="P34" s="1629" t="s">
        <v>417</v>
      </c>
      <c r="Q34" s="1630"/>
      <c r="R34" s="1626" t="str">
        <f>IF(AND('DATI INGRESSO'!$D$17="X",'DATI INGRESSO'!$D$20="X"),'DATI INGRESSO'!I58,"X")</f>
        <v>X</v>
      </c>
      <c r="S34" s="1627"/>
      <c r="T34" s="1627"/>
      <c r="U34" s="1628"/>
    </row>
    <row r="35" spans="1:21" x14ac:dyDescent="0.25">
      <c r="A35" s="1">
        <v>34</v>
      </c>
      <c r="B35" s="1645"/>
      <c r="C35" s="1646"/>
      <c r="D35" s="1609" t="s">
        <v>409</v>
      </c>
      <c r="E35" s="1610"/>
      <c r="F35" s="1611" t="str">
        <f>IF(AND('DATI INGRESSO'!$D$17="X",'DATI INGRESSO'!$D$20="X"),'DATI INGRESSO'!C62,"X")</f>
        <v>X</v>
      </c>
      <c r="G35" s="1612"/>
      <c r="H35" s="1612"/>
      <c r="I35" s="1617"/>
      <c r="J35" s="1609" t="s">
        <v>414</v>
      </c>
      <c r="K35" s="1640"/>
      <c r="L35" s="1610"/>
      <c r="M35" s="1611" t="str">
        <f>IF(AND('DATI INGRESSO'!$D$17="X",'DATI INGRESSO'!$D$20="X"),CONCATENATE('DATI INGRESSO'!C73," ",'DATI INGRESSO'!E73),"X")</f>
        <v>X</v>
      </c>
      <c r="N35" s="1612"/>
      <c r="O35" s="1612"/>
      <c r="P35" s="1609" t="s">
        <v>418</v>
      </c>
      <c r="Q35" s="1610"/>
      <c r="R35" s="1611" t="str">
        <f>IF(AND('DATI INGRESSO'!$D$17="X",'DATI INGRESSO'!$D$20="X"),'DATI INGRESSO'!I62,"X")</f>
        <v>X</v>
      </c>
      <c r="S35" s="1612"/>
      <c r="T35" s="1612"/>
      <c r="U35" s="1662"/>
    </row>
    <row r="36" spans="1:21" x14ac:dyDescent="0.25">
      <c r="A36" s="1">
        <v>35</v>
      </c>
      <c r="B36" s="1645"/>
      <c r="C36" s="1646"/>
      <c r="D36" s="1609" t="s">
        <v>411</v>
      </c>
      <c r="E36" s="1610"/>
      <c r="F36" s="1611" t="str">
        <f>IF(AND('DATI INGRESSO'!$D$17="X",'DATI INGRESSO'!$D$20="X"),'DATI INGRESSO'!C66,"X")</f>
        <v>X</v>
      </c>
      <c r="G36" s="1612"/>
      <c r="H36" s="1612"/>
      <c r="I36" s="1617"/>
      <c r="J36" s="1609" t="s">
        <v>415</v>
      </c>
      <c r="K36" s="1640"/>
      <c r="L36" s="1610"/>
      <c r="M36" s="1611" t="str">
        <f>IF(AND('DATI INGRESSO'!$D$17="X",'DATI INGRESSO'!$D$20="X"),'DATI INGRESSO'!I66,"X")</f>
        <v>X</v>
      </c>
      <c r="N36" s="1612"/>
      <c r="O36" s="1612"/>
      <c r="P36" s="1609" t="s">
        <v>419</v>
      </c>
      <c r="Q36" s="1610"/>
      <c r="R36" s="1611" t="str">
        <f>IF(AND('DATI INGRESSO'!$D$17="X",'DATI INGRESSO'!$D$20="X"),'DATI INGRESSO'!I74,"X")</f>
        <v>X</v>
      </c>
      <c r="S36" s="1612"/>
      <c r="T36" s="1612"/>
      <c r="U36" s="1662"/>
    </row>
    <row r="37" spans="1:21" x14ac:dyDescent="0.25">
      <c r="A37" s="1">
        <v>36</v>
      </c>
      <c r="B37" s="1645"/>
      <c r="C37" s="1646"/>
      <c r="D37" s="1609" t="s">
        <v>412</v>
      </c>
      <c r="E37" s="1610"/>
      <c r="F37" s="1611" t="str">
        <f>IF(AND('DATI INGRESSO'!$D$17="X",'DATI INGRESSO'!$D$20="X"),'DATI INGRESSO'!C70,"X")</f>
        <v>X</v>
      </c>
      <c r="G37" s="1612"/>
      <c r="H37" s="1612"/>
      <c r="I37" s="1617"/>
      <c r="J37" s="1609" t="s">
        <v>416</v>
      </c>
      <c r="K37" s="1640"/>
      <c r="L37" s="1610"/>
      <c r="M37" s="1611" t="str">
        <f>IF(AND('DATI INGRESSO'!$D$17="X",'DATI INGRESSO'!$D$20="X"),'DATI INGRESSO'!I70,"X")</f>
        <v>X</v>
      </c>
      <c r="N37" s="1612"/>
      <c r="O37" s="1612"/>
      <c r="P37" s="1609" t="s">
        <v>420</v>
      </c>
      <c r="Q37" s="1610"/>
      <c r="R37" s="1660" t="str">
        <f>IF(AND('DATI INGRESSO'!$D$17="X",'DATI INGRESSO'!$D$20="X"),'DATI INGRESSO'!K70,"X")</f>
        <v>X</v>
      </c>
      <c r="S37" s="1661"/>
      <c r="T37" s="1609" t="s">
        <v>421</v>
      </c>
      <c r="U37" s="1659"/>
    </row>
    <row r="38" spans="1:21" x14ac:dyDescent="0.25">
      <c r="A38" s="1">
        <v>37</v>
      </c>
      <c r="B38" s="1645"/>
      <c r="C38" s="1646"/>
      <c r="D38" s="1615" t="s">
        <v>482</v>
      </c>
      <c r="E38" s="1615"/>
      <c r="F38" s="1615"/>
      <c r="G38" s="1615"/>
      <c r="H38" s="1615"/>
      <c r="I38" s="1615"/>
      <c r="J38" s="1615"/>
      <c r="K38" s="1615"/>
      <c r="L38" s="1615"/>
      <c r="M38" s="1405" t="str">
        <f>IF(AND('DATI INGRESSO'!$D$17="X",'DATI INGRESSO'!$D$20="X"),CONCATENATE('DATI INGRESSO'!C79,"   ",'DATI INGRESSO'!E79),"X")</f>
        <v>X</v>
      </c>
      <c r="N38" s="1405"/>
      <c r="O38" s="1405"/>
      <c r="P38" s="1405"/>
      <c r="Q38" s="1405"/>
      <c r="R38" s="1405"/>
      <c r="S38" s="1405"/>
      <c r="T38" s="1405"/>
      <c r="U38" s="1544"/>
    </row>
    <row r="39" spans="1:21" ht="19.5" thickBot="1" x14ac:dyDescent="0.35">
      <c r="A39" s="1">
        <v>38</v>
      </c>
      <c r="B39" s="1647"/>
      <c r="C39" s="1648"/>
      <c r="D39" s="1616" t="s">
        <v>422</v>
      </c>
      <c r="E39" s="1616"/>
      <c r="F39" s="1616"/>
      <c r="G39" s="1616"/>
      <c r="H39" s="1616"/>
      <c r="I39" s="1616"/>
      <c r="J39" s="1616"/>
      <c r="K39" s="1616"/>
      <c r="L39" s="1616"/>
      <c r="M39" s="1767" t="str">
        <f>IF(AND('DATI INGRESSO'!$D$17="X",'DATI INGRESSO'!$D$20="X"),'DATI INGRESSO'!I79,"x")</f>
        <v>x</v>
      </c>
      <c r="N39" s="1767"/>
      <c r="O39" s="1767"/>
      <c r="P39" s="1767"/>
      <c r="Q39" s="1767"/>
      <c r="R39" s="1767"/>
      <c r="S39" s="1767"/>
      <c r="T39" s="1767"/>
      <c r="U39" s="1768"/>
    </row>
    <row r="40" spans="1:21" ht="9.75" customHeight="1" thickBot="1" x14ac:dyDescent="0.3">
      <c r="A40" s="1">
        <v>39</v>
      </c>
    </row>
    <row r="41" spans="1:21" x14ac:dyDescent="0.25">
      <c r="A41" s="1">
        <v>40</v>
      </c>
      <c r="B41" s="1675" t="s">
        <v>424</v>
      </c>
      <c r="C41" s="1676"/>
      <c r="D41" s="1629" t="s">
        <v>409</v>
      </c>
      <c r="E41" s="1630"/>
      <c r="F41" s="1626" t="str">
        <f>IF(AND('DATI INGRESSO'!$D$17="X",'DATI INGRESSO'!$D$20="X"),IF('DATI INGRESSO'!O141="X",'DATI INGRESSO'!C84,"-"),"X")</f>
        <v>X</v>
      </c>
      <c r="G41" s="1627"/>
      <c r="H41" s="1627"/>
      <c r="I41" s="1627"/>
      <c r="J41" s="1627"/>
      <c r="K41" s="1652"/>
      <c r="L41" s="1681" t="s">
        <v>425</v>
      </c>
      <c r="M41" s="1676"/>
      <c r="N41" s="1629" t="s">
        <v>409</v>
      </c>
      <c r="O41" s="1630"/>
      <c r="P41" s="1626" t="str">
        <f>IF(AND('DATI INGRESSO'!$D$17="X",'DATI INGRESSO'!$D$20="X"),IF('DATI INGRESSO'!O159="X",'DATI INGRESSO'!I84,"-"),"X")</f>
        <v>X</v>
      </c>
      <c r="Q41" s="1627"/>
      <c r="R41" s="1627"/>
      <c r="S41" s="1627"/>
      <c r="T41" s="1627"/>
      <c r="U41" s="1628"/>
    </row>
    <row r="42" spans="1:21" x14ac:dyDescent="0.25">
      <c r="A42" s="1">
        <v>41</v>
      </c>
      <c r="B42" s="1677"/>
      <c r="C42" s="1678"/>
      <c r="D42" s="1609" t="s">
        <v>411</v>
      </c>
      <c r="E42" s="1610"/>
      <c r="F42" s="1611" t="str">
        <f>IF(AND('DATI INGRESSO'!$D$17="X",'DATI INGRESSO'!$D$20="X"),IF('DATI INGRESSO'!O141="X",'DATI INGRESSO'!C88,"-"),"X")</f>
        <v>X</v>
      </c>
      <c r="G42" s="1612"/>
      <c r="H42" s="1612"/>
      <c r="I42" s="1612"/>
      <c r="J42" s="1612"/>
      <c r="K42" s="1617"/>
      <c r="L42" s="1682"/>
      <c r="M42" s="1678"/>
      <c r="N42" s="1609" t="s">
        <v>411</v>
      </c>
      <c r="O42" s="1610"/>
      <c r="P42" s="1611" t="str">
        <f>IF(AND('DATI INGRESSO'!$D$17="X",'DATI INGRESSO'!$D$20="X"),IF('DATI INGRESSO'!O159="X",'DATI INGRESSO'!I88,"-"),"X")</f>
        <v>X</v>
      </c>
      <c r="Q42" s="1612"/>
      <c r="R42" s="1612"/>
      <c r="S42" s="1612"/>
      <c r="T42" s="1612"/>
      <c r="U42" s="1662"/>
    </row>
    <row r="43" spans="1:21" x14ac:dyDescent="0.25">
      <c r="A43" s="1">
        <v>42</v>
      </c>
      <c r="B43" s="1677"/>
      <c r="C43" s="1678"/>
      <c r="D43" s="1609" t="s">
        <v>426</v>
      </c>
      <c r="E43" s="1610"/>
      <c r="F43" s="1611" t="str">
        <f>IF(AND('DATI INGRESSO'!$D$17="X",'DATI INGRESSO'!$D$20="X"),IF('DATI INGRESSO'!O141="X",CONCATENATE('DATI INGRESSO'!O149," / ",'DATI INGRESSO'!O152),"-"),"X")</f>
        <v>X</v>
      </c>
      <c r="G43" s="1612"/>
      <c r="H43" s="1612"/>
      <c r="I43" s="1612"/>
      <c r="J43" s="1612"/>
      <c r="K43" s="1617"/>
      <c r="L43" s="1682"/>
      <c r="M43" s="1678"/>
      <c r="N43" s="1609" t="s">
        <v>426</v>
      </c>
      <c r="O43" s="1610"/>
      <c r="P43" s="1611" t="str">
        <f>IF(AND('DATI INGRESSO'!$D$17="X",'DATI INGRESSO'!$D$20="X"),IF('DATI INGRESSO'!O159="X",CONCATENATE('DATI INGRESSO'!O168,'DATI INGRESSO'!P168," / ",'DATI INGRESSO'!O172,'DATI INGRESSO'!P172),"-"),"X")</f>
        <v>X</v>
      </c>
      <c r="Q43" s="1612"/>
      <c r="R43" s="1612"/>
      <c r="S43" s="1612"/>
      <c r="T43" s="1612"/>
      <c r="U43" s="1662"/>
    </row>
    <row r="44" spans="1:21" x14ac:dyDescent="0.25">
      <c r="A44" s="1">
        <v>43</v>
      </c>
      <c r="B44" s="1677"/>
      <c r="C44" s="1678"/>
      <c r="D44" s="1609" t="s">
        <v>427</v>
      </c>
      <c r="E44" s="1610"/>
      <c r="F44" s="1611" t="str">
        <f>IF(AND('DATI INGRESSO'!$D$17="X",'DATI INGRESSO'!$D$20="X"),IF('DATI INGRESSO'!O141="X",'DATI INGRESSO'!O146,"-"),"X")</f>
        <v>X</v>
      </c>
      <c r="G44" s="1612"/>
      <c r="H44" s="1612"/>
      <c r="I44" s="1612"/>
      <c r="J44" s="1612"/>
      <c r="K44" s="1617"/>
      <c r="L44" s="1682"/>
      <c r="M44" s="1678"/>
      <c r="N44" s="1609" t="s">
        <v>427</v>
      </c>
      <c r="O44" s="1610"/>
      <c r="P44" s="1611" t="str">
        <f>IF(AND('DATI INGRESSO'!$D$17="X",'DATI INGRESSO'!$D$20="X"),IF('DATI INGRESSO'!O159="X",'DATI INGRESSO'!O164,"-"),"X")</f>
        <v>X</v>
      </c>
      <c r="Q44" s="1612"/>
      <c r="R44" s="1612"/>
      <c r="S44" s="1612"/>
      <c r="T44" s="1612"/>
      <c r="U44" s="1662"/>
    </row>
    <row r="45" spans="1:21" x14ac:dyDescent="0.25">
      <c r="A45" s="1">
        <v>44</v>
      </c>
      <c r="B45" s="1677"/>
      <c r="C45" s="1678"/>
      <c r="D45" s="1609" t="s">
        <v>415</v>
      </c>
      <c r="E45" s="1610"/>
      <c r="F45" s="1611" t="str">
        <f>IF(AND('DATI INGRESSO'!$D$17="X",'DATI INGRESSO'!$D$20="X"),IF('DATI INGRESSO'!O141="X",'DATI INGRESSO'!C92,"-"),"X")</f>
        <v>X</v>
      </c>
      <c r="G45" s="1612"/>
      <c r="H45" s="1612"/>
      <c r="I45" s="1612"/>
      <c r="J45" s="1612"/>
      <c r="K45" s="1617"/>
      <c r="L45" s="1682"/>
      <c r="M45" s="1678"/>
      <c r="N45" s="1609" t="s">
        <v>415</v>
      </c>
      <c r="O45" s="1610"/>
      <c r="P45" s="1611" t="str">
        <f>IF(AND('DATI INGRESSO'!$D$17="X",'DATI INGRESSO'!$D$20="X"),IF('DATI INGRESSO'!O159="X",'DATI INGRESSO'!I92,"-"),"X")</f>
        <v>X</v>
      </c>
      <c r="Q45" s="1612"/>
      <c r="R45" s="1612"/>
      <c r="S45" s="1612"/>
      <c r="T45" s="1612"/>
      <c r="U45" s="1662"/>
    </row>
    <row r="46" spans="1:21" x14ac:dyDescent="0.25">
      <c r="A46" s="1">
        <v>45</v>
      </c>
      <c r="B46" s="1677"/>
      <c r="C46" s="1678"/>
      <c r="D46" s="1609" t="s">
        <v>428</v>
      </c>
      <c r="E46" s="1610"/>
      <c r="F46" s="1611" t="str">
        <f>IF(AND('DATI INGRESSO'!$D$17="X",'DATI INGRESSO'!$D$20="X"),IF('DATI INGRESSO'!O141="X",'DATI INGRESSO'!O155,"-"),"X")</f>
        <v>X</v>
      </c>
      <c r="G46" s="1612"/>
      <c r="H46" s="1612"/>
      <c r="I46" s="1612"/>
      <c r="J46" s="1612"/>
      <c r="K46" s="1617"/>
      <c r="L46" s="1682"/>
      <c r="M46" s="1678"/>
      <c r="N46" s="1609" t="s">
        <v>428</v>
      </c>
      <c r="O46" s="1610"/>
      <c r="P46" s="1611" t="str">
        <f>IF(AND('DATI INGRESSO'!$D$17="X",'DATI INGRESSO'!$D$20="X"),IF('DATI INGRESSO'!O159="X",'DATI INGRESSO'!O175,"-"),"X")</f>
        <v>X</v>
      </c>
      <c r="Q46" s="1612"/>
      <c r="R46" s="1612"/>
      <c r="S46" s="1612"/>
      <c r="T46" s="1612"/>
      <c r="U46" s="1662"/>
    </row>
    <row r="47" spans="1:21" x14ac:dyDescent="0.25">
      <c r="A47" s="1">
        <v>46</v>
      </c>
      <c r="B47" s="1677"/>
      <c r="C47" s="1678"/>
      <c r="D47" s="1609" t="s">
        <v>429</v>
      </c>
      <c r="E47" s="1610"/>
      <c r="F47" s="1611" t="str">
        <f>IF(AND('DATI INGRESSO'!$D$17="X",'DATI INGRESSO'!$D$20="X"),IF('DATI INGRESSO'!O141="X",'DATI INGRESSO'!C96,"-"),"X")</f>
        <v>X</v>
      </c>
      <c r="G47" s="1612"/>
      <c r="H47" s="1612"/>
      <c r="I47" s="1612"/>
      <c r="J47" s="1612"/>
      <c r="K47" s="1617"/>
      <c r="L47" s="1682"/>
      <c r="M47" s="1678"/>
      <c r="N47" s="1609" t="s">
        <v>429</v>
      </c>
      <c r="O47" s="1610"/>
      <c r="P47" s="1611" t="str">
        <f>IF(AND('DATI INGRESSO'!$D$17="X",'DATI INGRESSO'!$D$20="X"),IF('DATI INGRESSO'!O159="X",'DATI INGRESSO'!I96,"-"),"X")</f>
        <v>X</v>
      </c>
      <c r="Q47" s="1612"/>
      <c r="R47" s="1612"/>
      <c r="S47" s="1612"/>
      <c r="T47" s="1612"/>
      <c r="U47" s="1662"/>
    </row>
    <row r="48" spans="1:21" x14ac:dyDescent="0.25">
      <c r="A48" s="1">
        <v>47</v>
      </c>
      <c r="B48" s="1677"/>
      <c r="C48" s="1678"/>
      <c r="D48" s="1609" t="s">
        <v>429</v>
      </c>
      <c r="E48" s="1610"/>
      <c r="F48" s="1611" t="str">
        <f>IF(AND('DATI INGRESSO'!$D$17="X",'DATI INGRESSO'!$D$20="X"),IF('DATI INGRESSO'!O141="X",'DATI INGRESSO'!C100,"-"),"X")</f>
        <v>X</v>
      </c>
      <c r="G48" s="1612"/>
      <c r="H48" s="1612"/>
      <c r="I48" s="1612"/>
      <c r="J48" s="1612"/>
      <c r="K48" s="1617"/>
      <c r="L48" s="1682"/>
      <c r="M48" s="1678"/>
      <c r="N48" s="1609" t="s">
        <v>429</v>
      </c>
      <c r="O48" s="1610"/>
      <c r="P48" s="1611" t="str">
        <f>IF(AND('DATI INGRESSO'!$D$17="X",'DATI INGRESSO'!$D$20="X"),IF('DATI INGRESSO'!O159="X",'DATI INGRESSO'!I100,"-"),"X")</f>
        <v>X</v>
      </c>
      <c r="Q48" s="1612"/>
      <c r="R48" s="1612"/>
      <c r="S48" s="1612"/>
      <c r="T48" s="1612"/>
      <c r="U48" s="1662"/>
    </row>
    <row r="49" spans="1:21" ht="15.75" thickBot="1" x14ac:dyDescent="0.3">
      <c r="A49" s="1">
        <v>48</v>
      </c>
      <c r="B49" s="1679"/>
      <c r="C49" s="1680"/>
      <c r="D49" s="1663" t="s">
        <v>429</v>
      </c>
      <c r="E49" s="1651"/>
      <c r="F49" s="1672" t="str">
        <f>IF(AND('DATI INGRESSO'!$D$17="X",'DATI INGRESSO'!$D$20="X"),IF('DATI INGRESSO'!O141="X",'DATI INGRESSO'!C104,"-"),"X")</f>
        <v>X</v>
      </c>
      <c r="G49" s="1673"/>
      <c r="H49" s="1673"/>
      <c r="I49" s="1673"/>
      <c r="J49" s="1673"/>
      <c r="K49" s="1684"/>
      <c r="L49" s="1683"/>
      <c r="M49" s="1680"/>
      <c r="N49" s="1663" t="s">
        <v>429</v>
      </c>
      <c r="O49" s="1651"/>
      <c r="P49" s="1672" t="str">
        <f>IF(AND('DATI INGRESSO'!$D$17="X",'DATI INGRESSO'!$D$20="X"),IF('DATI INGRESSO'!O159="X",'DATI INGRESSO'!I104,"-"),"X")</f>
        <v>X</v>
      </c>
      <c r="Q49" s="1673"/>
      <c r="R49" s="1673"/>
      <c r="S49" s="1673"/>
      <c r="T49" s="1673"/>
      <c r="U49" s="1674"/>
    </row>
    <row r="50" spans="1:21" ht="10.5" customHeight="1" thickBot="1" x14ac:dyDescent="0.3">
      <c r="A50" s="1">
        <v>49</v>
      </c>
    </row>
    <row r="51" spans="1:21" ht="15.75" thickBot="1" x14ac:dyDescent="0.3">
      <c r="B51" s="1618" t="s">
        <v>751</v>
      </c>
      <c r="C51" s="1619"/>
      <c r="D51" s="1619"/>
      <c r="E51" s="1620"/>
      <c r="F51" s="1738" t="str">
        <f>IF(AND('DATI INGRESSO'!$D$17="X",'DATI INGRESSO'!$D$20="X"),'DATI INGRESSO'!H10,"X")</f>
        <v>X</v>
      </c>
      <c r="G51" s="1568"/>
    </row>
    <row r="52" spans="1:21" x14ac:dyDescent="0.25">
      <c r="B52" s="1600" t="s">
        <v>474</v>
      </c>
      <c r="C52" s="1600"/>
      <c r="D52" s="1600"/>
      <c r="E52" s="1600"/>
      <c r="F52" s="1600"/>
      <c r="G52" s="1600"/>
      <c r="H52" s="1600"/>
    </row>
    <row r="53" spans="1:21" ht="8.25" customHeight="1" thickBot="1" x14ac:dyDescent="0.3"/>
    <row r="54" spans="1:21" ht="27.95" customHeight="1" x14ac:dyDescent="0.25">
      <c r="A54" s="1">
        <v>50</v>
      </c>
      <c r="B54" s="119" t="s">
        <v>393</v>
      </c>
      <c r="C54" s="1575" t="s">
        <v>475</v>
      </c>
      <c r="D54" s="1575"/>
      <c r="E54" s="1575"/>
      <c r="F54" s="1575"/>
      <c r="G54" s="1765" t="s">
        <v>476</v>
      </c>
      <c r="H54" s="1766"/>
      <c r="I54" s="1762" t="s">
        <v>477</v>
      </c>
      <c r="J54" s="1763"/>
      <c r="K54" s="1763"/>
      <c r="L54" s="1763"/>
      <c r="M54" s="1763"/>
      <c r="N54" s="1763"/>
      <c r="O54" s="1763"/>
      <c r="P54" s="1763"/>
      <c r="Q54" s="1763"/>
      <c r="R54" s="1763"/>
      <c r="S54" s="1763"/>
      <c r="T54" s="1763"/>
      <c r="U54" s="1764"/>
    </row>
    <row r="55" spans="1:21" ht="23.1" customHeight="1" x14ac:dyDescent="0.25">
      <c r="A55" s="1">
        <v>51</v>
      </c>
      <c r="B55" s="120" t="str">
        <f>IF(AND('DATI INGRESSO'!$D$17="X",'DATI INGRESSO'!$D$20="X"),IF('DATI INGRESSO'!A204&lt;&gt;"",'DATI INGRESSO'!A204,"-"),"X")</f>
        <v>X</v>
      </c>
      <c r="C55" s="1591" t="str">
        <f>IF(AND('DATI INGRESSO'!$D$17="X",'DATI INGRESSO'!$D$20="X"),IF('DATI INGRESSO'!B204&lt;&gt;"",'DATI INGRESSO'!B204,"-"),"X")</f>
        <v>X</v>
      </c>
      <c r="D55" s="1591"/>
      <c r="E55" s="1591"/>
      <c r="F55" s="1591"/>
      <c r="G55" s="1590" t="str">
        <f>IF(AND('DATI INGRESSO'!$D$17="X",'DATI INGRESSO'!$D$20="X"),IF('DATI INGRESSO'!D204&lt;&gt;"",'DATI INGRESSO'!D204,"-"),"X")</f>
        <v>X</v>
      </c>
      <c r="H55" s="1590"/>
      <c r="I55" s="1744" t="str">
        <f>IF(AND('DATI INGRESSO'!$D$17="X",'DATI INGRESSO'!$D$20="X"),IF('DATI INGRESSO'!E204&lt;&gt;"",'DATI INGRESSO'!E204,"-"),"X")</f>
        <v>X</v>
      </c>
      <c r="J55" s="1745"/>
      <c r="K55" s="1745"/>
      <c r="L55" s="1745"/>
      <c r="M55" s="1745"/>
      <c r="N55" s="1745"/>
      <c r="O55" s="1745"/>
      <c r="P55" s="1745"/>
      <c r="Q55" s="1745"/>
      <c r="R55" s="1745"/>
      <c r="S55" s="1745"/>
      <c r="T55" s="1745"/>
      <c r="U55" s="1746"/>
    </row>
    <row r="56" spans="1:21" ht="23.1" customHeight="1" x14ac:dyDescent="0.25">
      <c r="A56" s="1">
        <v>52</v>
      </c>
      <c r="B56" s="120" t="str">
        <f>IF(AND('DATI INGRESSO'!$D$17="X",'DATI INGRESSO'!$D$20="X"),IF('DATI INGRESSO'!A208&lt;&gt;"",'DATI INGRESSO'!A208,"-"),"X")</f>
        <v>X</v>
      </c>
      <c r="C56" s="1591" t="str">
        <f>IF(AND('DATI INGRESSO'!$D$17="X",'DATI INGRESSO'!$D$20="X"),IF('DATI INGRESSO'!B208&lt;&gt;"",'DATI INGRESSO'!B208,"-"),"X")</f>
        <v>X</v>
      </c>
      <c r="D56" s="1591"/>
      <c r="E56" s="1591"/>
      <c r="F56" s="1591"/>
      <c r="G56" s="1590" t="str">
        <f>IF(AND('DATI INGRESSO'!$D$17="X",'DATI INGRESSO'!$D$20="X"),IF('DATI INGRESSO'!D208&lt;&gt;"",'DATI INGRESSO'!D208,"-"),"X")</f>
        <v>X</v>
      </c>
      <c r="H56" s="1590"/>
      <c r="I56" s="1744" t="str">
        <f>IF(AND('DATI INGRESSO'!$D$17="X",'DATI INGRESSO'!$D$20="X"),IF('DATI INGRESSO'!E208&lt;&gt;"",'DATI INGRESSO'!E208,"-"),"X")</f>
        <v>X</v>
      </c>
      <c r="J56" s="1745"/>
      <c r="K56" s="1745"/>
      <c r="L56" s="1745"/>
      <c r="M56" s="1745"/>
      <c r="N56" s="1745"/>
      <c r="O56" s="1745"/>
      <c r="P56" s="1745"/>
      <c r="Q56" s="1745"/>
      <c r="R56" s="1745"/>
      <c r="S56" s="1745"/>
      <c r="T56" s="1745"/>
      <c r="U56" s="1746"/>
    </row>
    <row r="57" spans="1:21" ht="23.1" customHeight="1" x14ac:dyDescent="0.25">
      <c r="A57" s="1">
        <v>53</v>
      </c>
      <c r="B57" s="120" t="str">
        <f>IF(AND('DATI INGRESSO'!$D$17="X",'DATI INGRESSO'!$D$20="X"),IF('DATI INGRESSO'!A212&lt;&gt;"",'DATI INGRESSO'!A212,"-"),"X")</f>
        <v>X</v>
      </c>
      <c r="C57" s="1591" t="str">
        <f>IF(AND('DATI INGRESSO'!$D$17="X",'DATI INGRESSO'!$D$20="X"),IF('DATI INGRESSO'!B212&lt;&gt;"",'DATI INGRESSO'!B212,"-"),"X")</f>
        <v>X</v>
      </c>
      <c r="D57" s="1591"/>
      <c r="E57" s="1591"/>
      <c r="F57" s="1591"/>
      <c r="G57" s="1590" t="str">
        <f>IF(AND('DATI INGRESSO'!$D$17="X",'DATI INGRESSO'!$D$20="X"),IF('DATI INGRESSO'!D212&lt;&gt;"",'DATI INGRESSO'!D212,"-"),"X")</f>
        <v>X</v>
      </c>
      <c r="H57" s="1590"/>
      <c r="I57" s="1744" t="str">
        <f>IF(AND('DATI INGRESSO'!$D$17="X",'DATI INGRESSO'!$D$20="X"),IF('DATI INGRESSO'!E212&lt;&gt;"",'DATI INGRESSO'!E212,"-"),"X")</f>
        <v>X</v>
      </c>
      <c r="J57" s="1745"/>
      <c r="K57" s="1745"/>
      <c r="L57" s="1745"/>
      <c r="M57" s="1745"/>
      <c r="N57" s="1745"/>
      <c r="O57" s="1745"/>
      <c r="P57" s="1745"/>
      <c r="Q57" s="1745"/>
      <c r="R57" s="1745"/>
      <c r="S57" s="1745"/>
      <c r="T57" s="1745"/>
      <c r="U57" s="1746"/>
    </row>
    <row r="58" spans="1:21" ht="23.1" customHeight="1" x14ac:dyDescent="0.25">
      <c r="A58" s="1">
        <v>54</v>
      </c>
      <c r="B58" s="120" t="str">
        <f>IF(AND('DATI INGRESSO'!$D$17="X",'DATI INGRESSO'!$D$20="X"),IF('DATI INGRESSO'!A216&lt;&gt;"",'DATI INGRESSO'!A216,"-"),"X")</f>
        <v>X</v>
      </c>
      <c r="C58" s="1591" t="str">
        <f>IF(AND('DATI INGRESSO'!$D$17="X",'DATI INGRESSO'!$D$20="X"),IF('DATI INGRESSO'!B216&lt;&gt;"",'DATI INGRESSO'!B216,"-"),"X")</f>
        <v>X</v>
      </c>
      <c r="D58" s="1591"/>
      <c r="E58" s="1591"/>
      <c r="F58" s="1591"/>
      <c r="G58" s="1590" t="str">
        <f>IF(AND('DATI INGRESSO'!$D$17="X",'DATI INGRESSO'!$D$20="X"),IF('DATI INGRESSO'!D216&lt;&gt;"",'DATI INGRESSO'!D216,"-"),"X")</f>
        <v>X</v>
      </c>
      <c r="H58" s="1590"/>
      <c r="I58" s="1744" t="str">
        <f>IF(AND('DATI INGRESSO'!$D$17="X",'DATI INGRESSO'!$D$20="X"),IF('DATI INGRESSO'!E216&lt;&gt;"",'DATI INGRESSO'!E216,"-"),"X")</f>
        <v>X</v>
      </c>
      <c r="J58" s="1745"/>
      <c r="K58" s="1745"/>
      <c r="L58" s="1745"/>
      <c r="M58" s="1745"/>
      <c r="N58" s="1745"/>
      <c r="O58" s="1745"/>
      <c r="P58" s="1745"/>
      <c r="Q58" s="1745"/>
      <c r="R58" s="1745"/>
      <c r="S58" s="1745"/>
      <c r="T58" s="1745"/>
      <c r="U58" s="1746"/>
    </row>
    <row r="59" spans="1:21" ht="23.1" customHeight="1" x14ac:dyDescent="0.25">
      <c r="A59" s="1">
        <v>55</v>
      </c>
      <c r="B59" s="120" t="str">
        <f>IF(AND('DATI INGRESSO'!$D$17="X",'DATI INGRESSO'!$D$20="X"),IF('DATI INGRESSO'!A220&lt;&gt;"",'DATI INGRESSO'!A220,"-"),"X")</f>
        <v>X</v>
      </c>
      <c r="C59" s="1591" t="str">
        <f>IF(AND('DATI INGRESSO'!$D$17="X",'DATI INGRESSO'!$D$20="X"),IF('DATI INGRESSO'!B220&lt;&gt;"",'DATI INGRESSO'!B220,"-"),"X")</f>
        <v>X</v>
      </c>
      <c r="D59" s="1591"/>
      <c r="E59" s="1591"/>
      <c r="F59" s="1591"/>
      <c r="G59" s="1590" t="str">
        <f>IF(AND('DATI INGRESSO'!$D$17="X",'DATI INGRESSO'!$D$20="X"),IF('DATI INGRESSO'!D220&lt;&gt;"",'DATI INGRESSO'!D220,"-"),"X")</f>
        <v>X</v>
      </c>
      <c r="H59" s="1590"/>
      <c r="I59" s="1744" t="str">
        <f>IF(AND('DATI INGRESSO'!$D$17="X",'DATI INGRESSO'!$D$20="X"),IF('DATI INGRESSO'!E220&lt;&gt;"",'DATI INGRESSO'!E220,"-"),"X")</f>
        <v>X</v>
      </c>
      <c r="J59" s="1745"/>
      <c r="K59" s="1745"/>
      <c r="L59" s="1745"/>
      <c r="M59" s="1745"/>
      <c r="N59" s="1745"/>
      <c r="O59" s="1745"/>
      <c r="P59" s="1745"/>
      <c r="Q59" s="1745"/>
      <c r="R59" s="1745"/>
      <c r="S59" s="1745"/>
      <c r="T59" s="1745"/>
      <c r="U59" s="1746"/>
    </row>
    <row r="60" spans="1:21" ht="23.1" customHeight="1" x14ac:dyDescent="0.25">
      <c r="A60" s="1">
        <v>56</v>
      </c>
      <c r="B60" s="120" t="str">
        <f>IF(AND('DATI INGRESSO'!$D$17="X",'DATI INGRESSO'!$D$20="X"),IF('DATI INGRESSO'!A224&lt;&gt;"",'DATI INGRESSO'!A224,"-"),"X")</f>
        <v>X</v>
      </c>
      <c r="C60" s="1591" t="str">
        <f>IF(AND('DATI INGRESSO'!$D$17="X",'DATI INGRESSO'!$D$20="X"),IF('DATI INGRESSO'!B224&lt;&gt;"",'DATI INGRESSO'!B224,"-"),"X")</f>
        <v>X</v>
      </c>
      <c r="D60" s="1591"/>
      <c r="E60" s="1591"/>
      <c r="F60" s="1591"/>
      <c r="G60" s="1590" t="str">
        <f>IF(AND('DATI INGRESSO'!$D$17="X",'DATI INGRESSO'!$D$20="X"),IF('DATI INGRESSO'!D224&lt;&gt;"",'DATI INGRESSO'!D224,"-"),"X")</f>
        <v>X</v>
      </c>
      <c r="H60" s="1590"/>
      <c r="I60" s="1744" t="str">
        <f>IF(AND('DATI INGRESSO'!$D$17="X",'DATI INGRESSO'!$D$20="X"),IF('DATI INGRESSO'!E224&lt;&gt;"",'DATI INGRESSO'!E224,"-"),"X")</f>
        <v>X</v>
      </c>
      <c r="J60" s="1745"/>
      <c r="K60" s="1745"/>
      <c r="L60" s="1745"/>
      <c r="M60" s="1745"/>
      <c r="N60" s="1745"/>
      <c r="O60" s="1745"/>
      <c r="P60" s="1745"/>
      <c r="Q60" s="1745"/>
      <c r="R60" s="1745"/>
      <c r="S60" s="1745"/>
      <c r="T60" s="1745"/>
      <c r="U60" s="1746"/>
    </row>
    <row r="61" spans="1:21" ht="23.1" customHeight="1" x14ac:dyDescent="0.25">
      <c r="A61" s="1">
        <v>57</v>
      </c>
      <c r="B61" s="120" t="str">
        <f>IF(AND('DATI INGRESSO'!$D$17="X",'DATI INGRESSO'!$D$20="X"),IF('DATI INGRESSO'!A228&lt;&gt;"",'DATI INGRESSO'!A228,"-"),"X")</f>
        <v>X</v>
      </c>
      <c r="C61" s="1591" t="str">
        <f>IF(AND('DATI INGRESSO'!$D$17="X",'DATI INGRESSO'!$D$20="X"),IF('DATI INGRESSO'!B228&lt;&gt;"",'DATI INGRESSO'!B228,"-"),"X")</f>
        <v>X</v>
      </c>
      <c r="D61" s="1591"/>
      <c r="E61" s="1591"/>
      <c r="F61" s="1591"/>
      <c r="G61" s="1590" t="str">
        <f>IF(AND('DATI INGRESSO'!$D$17="X",'DATI INGRESSO'!$D$20="X"),IF('DATI INGRESSO'!D228&lt;&gt;"",'DATI INGRESSO'!D228,"-"),"X")</f>
        <v>X</v>
      </c>
      <c r="H61" s="1590"/>
      <c r="I61" s="1744" t="str">
        <f>IF(AND('DATI INGRESSO'!$D$17="X",'DATI INGRESSO'!$D$20="X"),IF('DATI INGRESSO'!E228&lt;&gt;"",'DATI INGRESSO'!E228,"-"),"X")</f>
        <v>X</v>
      </c>
      <c r="J61" s="1745"/>
      <c r="K61" s="1745"/>
      <c r="L61" s="1745"/>
      <c r="M61" s="1745"/>
      <c r="N61" s="1745"/>
      <c r="O61" s="1745"/>
      <c r="P61" s="1745"/>
      <c r="Q61" s="1745"/>
      <c r="R61" s="1745"/>
      <c r="S61" s="1745"/>
      <c r="T61" s="1745"/>
      <c r="U61" s="1746"/>
    </row>
    <row r="62" spans="1:21" ht="23.1" customHeight="1" x14ac:dyDescent="0.25">
      <c r="A62" s="1">
        <v>58</v>
      </c>
      <c r="B62" s="120" t="str">
        <f>IF(AND('DATI INGRESSO'!$D$17="X",'DATI INGRESSO'!$D$20="X"),IF('DATI INGRESSO'!A232&lt;&gt;"",'DATI INGRESSO'!A232,"-"),"X")</f>
        <v>X</v>
      </c>
      <c r="C62" s="1591" t="str">
        <f>IF(AND('DATI INGRESSO'!$D$17="X",'DATI INGRESSO'!$D$20="X"),IF('DATI INGRESSO'!B232&lt;&gt;"",'DATI INGRESSO'!B232,"-"),"X")</f>
        <v>X</v>
      </c>
      <c r="D62" s="1591"/>
      <c r="E62" s="1591"/>
      <c r="F62" s="1591"/>
      <c r="G62" s="1590" t="str">
        <f>IF(AND('DATI INGRESSO'!$D$17="X",'DATI INGRESSO'!$D$20="X"),IF('DATI INGRESSO'!D232&lt;&gt;"",'DATI INGRESSO'!D232,"-"),"X")</f>
        <v>X</v>
      </c>
      <c r="H62" s="1590"/>
      <c r="I62" s="1744" t="str">
        <f>IF(AND('DATI INGRESSO'!$D$17="X",'DATI INGRESSO'!$D$20="X"),IF('DATI INGRESSO'!E232&lt;&gt;"",'DATI INGRESSO'!E232,"-"),"X")</f>
        <v>X</v>
      </c>
      <c r="J62" s="1745"/>
      <c r="K62" s="1745"/>
      <c r="L62" s="1745"/>
      <c r="M62" s="1745"/>
      <c r="N62" s="1745"/>
      <c r="O62" s="1745"/>
      <c r="P62" s="1745"/>
      <c r="Q62" s="1745"/>
      <c r="R62" s="1745"/>
      <c r="S62" s="1745"/>
      <c r="T62" s="1745"/>
      <c r="U62" s="1746"/>
    </row>
    <row r="63" spans="1:21" ht="23.1" customHeight="1" x14ac:dyDescent="0.25">
      <c r="A63" s="1">
        <v>59</v>
      </c>
      <c r="B63" s="120" t="str">
        <f>IF(AND('DATI INGRESSO'!$D$17="X",'DATI INGRESSO'!$D$20="X"),IF('DATI INGRESSO'!A236&lt;&gt;"",'DATI INGRESSO'!A236,"-"),"X")</f>
        <v>X</v>
      </c>
      <c r="C63" s="1591" t="str">
        <f>IF(AND('DATI INGRESSO'!$D$17="X",'DATI INGRESSO'!$D$20="X"),IF('DATI INGRESSO'!B236&lt;&gt;"",'DATI INGRESSO'!B236,"-"),"X")</f>
        <v>X</v>
      </c>
      <c r="D63" s="1591"/>
      <c r="E63" s="1591"/>
      <c r="F63" s="1591"/>
      <c r="G63" s="1590" t="str">
        <f>IF(AND('DATI INGRESSO'!$D$17="X",'DATI INGRESSO'!$D$20="X"),IF('DATI INGRESSO'!D236&lt;&gt;"",'DATI INGRESSO'!D236,"-"),"X")</f>
        <v>X</v>
      </c>
      <c r="H63" s="1590"/>
      <c r="I63" s="1744" t="str">
        <f>IF(AND('DATI INGRESSO'!$D$17="X",'DATI INGRESSO'!$D$20="X"),IF('DATI INGRESSO'!E236&lt;&gt;"",'DATI INGRESSO'!E236,"-"),"X")</f>
        <v>X</v>
      </c>
      <c r="J63" s="1745"/>
      <c r="K63" s="1745"/>
      <c r="L63" s="1745"/>
      <c r="M63" s="1745"/>
      <c r="N63" s="1745"/>
      <c r="O63" s="1745"/>
      <c r="P63" s="1745"/>
      <c r="Q63" s="1745"/>
      <c r="R63" s="1745"/>
      <c r="S63" s="1745"/>
      <c r="T63" s="1745"/>
      <c r="U63" s="1746"/>
    </row>
    <row r="64" spans="1:21" ht="23.1" customHeight="1" x14ac:dyDescent="0.25">
      <c r="A64" s="1">
        <v>60</v>
      </c>
      <c r="B64" s="120" t="str">
        <f>IF(AND('DATI INGRESSO'!$D$17="X",'DATI INGRESSO'!$D$20="X"),IF('DATI INGRESSO'!A240&lt;&gt;"",'DATI INGRESSO'!A240,"-"),"X")</f>
        <v>X</v>
      </c>
      <c r="C64" s="1591" t="str">
        <f>IF(AND('DATI INGRESSO'!$D$17="X",'DATI INGRESSO'!$D$20="X"),IF('DATI INGRESSO'!B240&lt;&gt;"",'DATI INGRESSO'!B240,"-"),"X")</f>
        <v>X</v>
      </c>
      <c r="D64" s="1591"/>
      <c r="E64" s="1591"/>
      <c r="F64" s="1591"/>
      <c r="G64" s="1590" t="str">
        <f>IF(AND('DATI INGRESSO'!$D$17="X",'DATI INGRESSO'!$D$20="X"),IF('DATI INGRESSO'!D240&lt;&gt;"",'DATI INGRESSO'!D240,"-"),"X")</f>
        <v>X</v>
      </c>
      <c r="H64" s="1590"/>
      <c r="I64" s="1744" t="str">
        <f>IF(AND('DATI INGRESSO'!$D$17="X",'DATI INGRESSO'!$D$20="X"),IF('DATI INGRESSO'!E240&lt;&gt;"",'DATI INGRESSO'!E240,"-"),"X")</f>
        <v>X</v>
      </c>
      <c r="J64" s="1745"/>
      <c r="K64" s="1745"/>
      <c r="L64" s="1745"/>
      <c r="M64" s="1745"/>
      <c r="N64" s="1745"/>
      <c r="O64" s="1745"/>
      <c r="P64" s="1745"/>
      <c r="Q64" s="1745"/>
      <c r="R64" s="1745"/>
      <c r="S64" s="1745"/>
      <c r="T64" s="1745"/>
      <c r="U64" s="1746"/>
    </row>
    <row r="65" spans="1:21" ht="23.1" customHeight="1" thickBot="1" x14ac:dyDescent="0.3">
      <c r="B65" s="245"/>
      <c r="C65" s="245"/>
      <c r="D65" s="245"/>
      <c r="E65" s="245"/>
      <c r="F65" s="245"/>
      <c r="G65" s="245"/>
      <c r="H65" s="245"/>
      <c r="I65" s="246"/>
      <c r="J65" s="246"/>
      <c r="K65" s="246"/>
      <c r="L65" s="246"/>
      <c r="M65" s="246"/>
      <c r="N65" s="246"/>
      <c r="O65" s="246"/>
      <c r="P65" s="246"/>
      <c r="Q65" s="246"/>
      <c r="R65" s="246"/>
      <c r="S65" s="246"/>
      <c r="T65" s="246"/>
      <c r="U65" s="246"/>
    </row>
    <row r="66" spans="1:21" ht="28.5" customHeight="1" x14ac:dyDescent="0.25">
      <c r="B66" s="119" t="s">
        <v>393</v>
      </c>
      <c r="C66" s="1575" t="s">
        <v>475</v>
      </c>
      <c r="D66" s="1575"/>
      <c r="E66" s="1575"/>
      <c r="F66" s="1575"/>
      <c r="G66" s="1765" t="s">
        <v>476</v>
      </c>
      <c r="H66" s="1766"/>
      <c r="I66" s="1762" t="s">
        <v>477</v>
      </c>
      <c r="J66" s="1763"/>
      <c r="K66" s="1763"/>
      <c r="L66" s="1763"/>
      <c r="M66" s="1763"/>
      <c r="N66" s="1763"/>
      <c r="O66" s="1763"/>
      <c r="P66" s="1763"/>
      <c r="Q66" s="1763"/>
      <c r="R66" s="1763"/>
      <c r="S66" s="1763"/>
      <c r="T66" s="1763"/>
      <c r="U66" s="1764"/>
    </row>
    <row r="67" spans="1:21" ht="23.1" customHeight="1" x14ac:dyDescent="0.25">
      <c r="B67" s="120" t="str">
        <f>IF(AND('DATI INGRESSO'!$D$17="X",'DATI INGRESSO'!$D$20="X"),IF('DATI INGRESSO'!A258&lt;&gt;"",'DATI INGRESSO'!A258,"-"),"X")</f>
        <v>X</v>
      </c>
      <c r="C67" s="1590" t="str">
        <f>IF(AND('DATI INGRESSO'!$D$17="X",'DATI INGRESSO'!$D$20="X"),IF('DATI INGRESSO'!B258&lt;&gt;"",'DATI INGRESSO'!B258,"-"),"X")</f>
        <v>X</v>
      </c>
      <c r="D67" s="1590"/>
      <c r="E67" s="1590"/>
      <c r="F67" s="1590"/>
      <c r="G67" s="1590" t="str">
        <f>IF(AND('DATI INGRESSO'!$D$17="X",'DATI INGRESSO'!$D$20="X"),IF('DATI INGRESSO'!D258&lt;&gt;"",'DATI INGRESSO'!D258,"-"),"X")</f>
        <v>X</v>
      </c>
      <c r="H67" s="1590"/>
      <c r="I67" s="1744" t="str">
        <f>IF(AND('DATI INGRESSO'!$D$17="X",'DATI INGRESSO'!$D$20="X"),IF('DATI INGRESSO'!E258&lt;&gt;"",'DATI INGRESSO'!E258,"-"),"X")</f>
        <v>X</v>
      </c>
      <c r="J67" s="1745"/>
      <c r="K67" s="1745"/>
      <c r="L67" s="1745"/>
      <c r="M67" s="1745"/>
      <c r="N67" s="1745"/>
      <c r="O67" s="1745"/>
      <c r="P67" s="1745"/>
      <c r="Q67" s="1745"/>
      <c r="R67" s="1745"/>
      <c r="S67" s="1745"/>
      <c r="T67" s="1745"/>
      <c r="U67" s="1746"/>
    </row>
    <row r="68" spans="1:21" ht="23.1" customHeight="1" x14ac:dyDescent="0.25">
      <c r="B68" s="120" t="str">
        <f>IF(AND('DATI INGRESSO'!$D$17="X",'DATI INGRESSO'!$D$20="X"),IF('DATI INGRESSO'!A259&lt;&gt;"",'DATI INGRESSO'!A259,"-"),"X")</f>
        <v>X</v>
      </c>
      <c r="C68" s="1590" t="str">
        <f>IF(AND('DATI INGRESSO'!$D$17="X",'DATI INGRESSO'!$D$20="X"),IF('DATI INGRESSO'!B259&lt;&gt;"",'DATI INGRESSO'!B259,"-"),"X")</f>
        <v>X</v>
      </c>
      <c r="D68" s="1590"/>
      <c r="E68" s="1590"/>
      <c r="F68" s="1590"/>
      <c r="G68" s="1590" t="str">
        <f>IF(AND('DATI INGRESSO'!$D$17="X",'DATI INGRESSO'!$D$20="X"),IF('DATI INGRESSO'!D259&lt;&gt;"",'DATI INGRESSO'!D259,"-"),"X")</f>
        <v>X</v>
      </c>
      <c r="H68" s="1590"/>
      <c r="I68" s="1744" t="str">
        <f>IF(AND('DATI INGRESSO'!$D$17="X",'DATI INGRESSO'!$D$20="X"),IF('DATI INGRESSO'!E259&lt;&gt;"",'DATI INGRESSO'!E259,"-"),"X")</f>
        <v>X</v>
      </c>
      <c r="J68" s="1745"/>
      <c r="K68" s="1745"/>
      <c r="L68" s="1745"/>
      <c r="M68" s="1745"/>
      <c r="N68" s="1745"/>
      <c r="O68" s="1745"/>
      <c r="P68" s="1745"/>
      <c r="Q68" s="1745"/>
      <c r="R68" s="1745"/>
      <c r="S68" s="1745"/>
      <c r="T68" s="1745"/>
      <c r="U68" s="1746"/>
    </row>
    <row r="69" spans="1:21" ht="23.1" customHeight="1" x14ac:dyDescent="0.25">
      <c r="B69" s="120" t="str">
        <f>IF(AND('DATI INGRESSO'!$D$17="X",'DATI INGRESSO'!$D$20="X"),IF('DATI INGRESSO'!A260&lt;&gt;"",'DATI INGRESSO'!A260,"-"),"X")</f>
        <v>X</v>
      </c>
      <c r="C69" s="1590" t="str">
        <f>IF(AND('DATI INGRESSO'!$D$17="X",'DATI INGRESSO'!$D$20="X"),IF('DATI INGRESSO'!B260&lt;&gt;"",'DATI INGRESSO'!B260,"-"),"X")</f>
        <v>X</v>
      </c>
      <c r="D69" s="1590"/>
      <c r="E69" s="1590"/>
      <c r="F69" s="1590"/>
      <c r="G69" s="1590" t="str">
        <f>IF(AND('DATI INGRESSO'!$D$17="X",'DATI INGRESSO'!$D$20="X"),IF('DATI INGRESSO'!D260&lt;&gt;"",'DATI INGRESSO'!D260,"-"),"X")</f>
        <v>X</v>
      </c>
      <c r="H69" s="1590"/>
      <c r="I69" s="1744" t="str">
        <f>IF(AND('DATI INGRESSO'!$D$17="X",'DATI INGRESSO'!$D$20="X"),IF('DATI INGRESSO'!E260&lt;&gt;"",'DATI INGRESSO'!E260,"-"),"X")</f>
        <v>X</v>
      </c>
      <c r="J69" s="1745"/>
      <c r="K69" s="1745"/>
      <c r="L69" s="1745"/>
      <c r="M69" s="1745"/>
      <c r="N69" s="1745"/>
      <c r="O69" s="1745"/>
      <c r="P69" s="1745"/>
      <c r="Q69" s="1745"/>
      <c r="R69" s="1745"/>
      <c r="S69" s="1745"/>
      <c r="T69" s="1745"/>
      <c r="U69" s="1746"/>
    </row>
    <row r="70" spans="1:21" ht="23.1" customHeight="1" x14ac:dyDescent="0.25">
      <c r="B70" s="120" t="str">
        <f>IF(AND('DATI INGRESSO'!$D$17="X",'DATI INGRESSO'!$D$20="X"),IF('DATI INGRESSO'!A261&lt;&gt;"",'DATI INGRESSO'!A261,"-"),"X")</f>
        <v>X</v>
      </c>
      <c r="C70" s="1590" t="str">
        <f>IF(AND('DATI INGRESSO'!$D$17="X",'DATI INGRESSO'!$D$20="X"),IF('DATI INGRESSO'!B261&lt;&gt;"",'DATI INGRESSO'!B261,"-"),"X")</f>
        <v>X</v>
      </c>
      <c r="D70" s="1590"/>
      <c r="E70" s="1590"/>
      <c r="F70" s="1590"/>
      <c r="G70" s="1590" t="str">
        <f>IF(AND('DATI INGRESSO'!$D$17="X",'DATI INGRESSO'!$D$20="X"),IF('DATI INGRESSO'!D261&lt;&gt;"",'DATI INGRESSO'!D261,"-"),"X")</f>
        <v>X</v>
      </c>
      <c r="H70" s="1590"/>
      <c r="I70" s="1744" t="str">
        <f>IF(AND('DATI INGRESSO'!$D$17="X",'DATI INGRESSO'!$D$20="X"),IF('DATI INGRESSO'!E261&lt;&gt;"",'DATI INGRESSO'!E261,"-"),"X")</f>
        <v>X</v>
      </c>
      <c r="J70" s="1745"/>
      <c r="K70" s="1745"/>
      <c r="L70" s="1745"/>
      <c r="M70" s="1745"/>
      <c r="N70" s="1745"/>
      <c r="O70" s="1745"/>
      <c r="P70" s="1745"/>
      <c r="Q70" s="1745"/>
      <c r="R70" s="1745"/>
      <c r="S70" s="1745"/>
      <c r="T70" s="1745"/>
      <c r="U70" s="1746"/>
    </row>
    <row r="71" spans="1:21" ht="23.1" customHeight="1" thickBot="1" x14ac:dyDescent="0.3">
      <c r="B71" s="121" t="str">
        <f>IF(AND('DATI INGRESSO'!$D$17="X",'DATI INGRESSO'!$D$20="X"),IF('DATI INGRESSO'!A262&lt;&gt;"",'DATI INGRESSO'!A262,"-"),"X")</f>
        <v>X</v>
      </c>
      <c r="C71" s="1761" t="str">
        <f>IF(AND('DATI INGRESSO'!$D$17="X",'DATI INGRESSO'!$D$20="X"),IF('DATI INGRESSO'!B262&lt;&gt;"",'DATI INGRESSO'!B262,"-"),"X")</f>
        <v>X</v>
      </c>
      <c r="D71" s="1761"/>
      <c r="E71" s="1761"/>
      <c r="F71" s="1761"/>
      <c r="G71" s="1761" t="str">
        <f>IF(AND('DATI INGRESSO'!$D$17="X",'DATI INGRESSO'!$D$20="X"),IF('DATI INGRESSO'!D262&lt;&gt;"",'DATI INGRESSO'!D262,"-"),"X")</f>
        <v>X</v>
      </c>
      <c r="H71" s="1761"/>
      <c r="I71" s="1747" t="str">
        <f>IF(AND('DATI INGRESSO'!$D$17="X",'DATI INGRESSO'!$D$20="X"),IF('DATI INGRESSO'!E262&lt;&gt;"",'DATI INGRESSO'!E262,"-"),"X")</f>
        <v>X</v>
      </c>
      <c r="J71" s="1748"/>
      <c r="K71" s="1748"/>
      <c r="L71" s="1748"/>
      <c r="M71" s="1748"/>
      <c r="N71" s="1748"/>
      <c r="O71" s="1748"/>
      <c r="P71" s="1748"/>
      <c r="Q71" s="1748"/>
      <c r="R71" s="1748"/>
      <c r="S71" s="1748"/>
      <c r="T71" s="1748"/>
      <c r="U71" s="1749"/>
    </row>
    <row r="72" spans="1:21" ht="15.75" thickBot="1" x14ac:dyDescent="0.3">
      <c r="B72" s="1769" t="s">
        <v>752</v>
      </c>
      <c r="C72" s="1770"/>
      <c r="D72" s="1770"/>
      <c r="E72" s="1771"/>
      <c r="F72" s="1772" t="str">
        <f>IF(AND('DATI INGRESSO'!$D$17="X",'DATI INGRESSO'!$D$20="X"),'DATI INGRESSO'!H13,"X")</f>
        <v>X</v>
      </c>
      <c r="G72" s="1773"/>
      <c r="H72" s="245"/>
      <c r="I72" s="246"/>
      <c r="J72" s="246"/>
      <c r="K72" s="246"/>
      <c r="L72" s="246"/>
      <c r="M72" s="246"/>
      <c r="N72" s="246"/>
      <c r="O72" s="246"/>
      <c r="P72" s="246"/>
      <c r="Q72" s="246"/>
      <c r="R72" s="246"/>
      <c r="S72" s="246"/>
      <c r="T72" s="246"/>
      <c r="U72" s="247"/>
    </row>
    <row r="73" spans="1:21" ht="15.75" thickBot="1" x14ac:dyDescent="0.3">
      <c r="B73" s="248"/>
      <c r="C73" s="245"/>
      <c r="D73" s="245"/>
      <c r="E73" s="245"/>
      <c r="F73" s="245"/>
      <c r="G73" s="245"/>
      <c r="H73" s="245"/>
      <c r="I73" s="246"/>
      <c r="J73" s="246"/>
      <c r="K73" s="246"/>
      <c r="L73" s="246"/>
      <c r="M73" s="246"/>
      <c r="N73" s="246"/>
      <c r="O73" s="246"/>
      <c r="P73" s="246"/>
      <c r="Q73" s="246"/>
      <c r="R73" s="246"/>
      <c r="S73" s="246"/>
      <c r="T73" s="246"/>
      <c r="U73" s="247"/>
    </row>
    <row r="74" spans="1:21" ht="15" customHeight="1" x14ac:dyDescent="0.25">
      <c r="A74" s="1">
        <v>1</v>
      </c>
      <c r="B74" s="1780" t="s">
        <v>754</v>
      </c>
      <c r="C74" s="1781"/>
      <c r="D74" s="1774" t="str">
        <f>IF(AND('DATI INGRESSO'!$D$17="X",'DATI INGRESSO'!$D$20="X"),IF('DATI INGRESSO'!A710&lt;&gt;"",'DATI INGRESSO'!A710,"-"),"X")</f>
        <v>X</v>
      </c>
      <c r="E74" s="1774"/>
      <c r="F74" s="1774"/>
      <c r="G74" s="1774"/>
      <c r="H74" s="1774"/>
      <c r="I74" s="1774"/>
      <c r="J74" s="1774"/>
      <c r="K74" s="1774"/>
      <c r="L74" s="1774"/>
      <c r="M74" s="1774"/>
      <c r="N74" s="1774"/>
      <c r="O74" s="1774"/>
      <c r="P74" s="1774"/>
      <c r="Q74" s="1774"/>
      <c r="R74" s="1774"/>
      <c r="S74" s="1774"/>
      <c r="T74" s="1774"/>
      <c r="U74" s="1775"/>
    </row>
    <row r="75" spans="1:21" x14ac:dyDescent="0.25">
      <c r="A75" s="1">
        <v>2</v>
      </c>
      <c r="B75" s="1782"/>
      <c r="C75" s="1783"/>
      <c r="D75" s="1776"/>
      <c r="E75" s="1776"/>
      <c r="F75" s="1776"/>
      <c r="G75" s="1776"/>
      <c r="H75" s="1776"/>
      <c r="I75" s="1776"/>
      <c r="J75" s="1776"/>
      <c r="K75" s="1776"/>
      <c r="L75" s="1776"/>
      <c r="M75" s="1776"/>
      <c r="N75" s="1776"/>
      <c r="O75" s="1776"/>
      <c r="P75" s="1776"/>
      <c r="Q75" s="1776"/>
      <c r="R75" s="1776"/>
      <c r="S75" s="1776"/>
      <c r="T75" s="1776"/>
      <c r="U75" s="1777"/>
    </row>
    <row r="76" spans="1:21" x14ac:dyDescent="0.25">
      <c r="A76" s="1">
        <v>3</v>
      </c>
      <c r="B76" s="1782"/>
      <c r="C76" s="1783"/>
      <c r="D76" s="1776"/>
      <c r="E76" s="1776"/>
      <c r="F76" s="1776"/>
      <c r="G76" s="1776"/>
      <c r="H76" s="1776"/>
      <c r="I76" s="1776"/>
      <c r="J76" s="1776"/>
      <c r="K76" s="1776"/>
      <c r="L76" s="1776"/>
      <c r="M76" s="1776"/>
      <c r="N76" s="1776"/>
      <c r="O76" s="1776"/>
      <c r="P76" s="1776"/>
      <c r="Q76" s="1776"/>
      <c r="R76" s="1776"/>
      <c r="S76" s="1776"/>
      <c r="T76" s="1776"/>
      <c r="U76" s="1777"/>
    </row>
    <row r="77" spans="1:21" x14ac:dyDescent="0.25">
      <c r="A77" s="1">
        <v>4</v>
      </c>
      <c r="B77" s="1782"/>
      <c r="C77" s="1783"/>
      <c r="D77" s="1776"/>
      <c r="E77" s="1776"/>
      <c r="F77" s="1776"/>
      <c r="G77" s="1776"/>
      <c r="H77" s="1776"/>
      <c r="I77" s="1776"/>
      <c r="J77" s="1776"/>
      <c r="K77" s="1776"/>
      <c r="L77" s="1776"/>
      <c r="M77" s="1776"/>
      <c r="N77" s="1776"/>
      <c r="O77" s="1776"/>
      <c r="P77" s="1776"/>
      <c r="Q77" s="1776"/>
      <c r="R77" s="1776"/>
      <c r="S77" s="1776"/>
      <c r="T77" s="1776"/>
      <c r="U77" s="1777"/>
    </row>
    <row r="78" spans="1:21" x14ac:dyDescent="0.25">
      <c r="A78" s="1">
        <v>5</v>
      </c>
      <c r="B78" s="1782"/>
      <c r="C78" s="1783"/>
      <c r="D78" s="1776"/>
      <c r="E78" s="1776"/>
      <c r="F78" s="1776"/>
      <c r="G78" s="1776"/>
      <c r="H78" s="1776"/>
      <c r="I78" s="1776"/>
      <c r="J78" s="1776"/>
      <c r="K78" s="1776"/>
      <c r="L78" s="1776"/>
      <c r="M78" s="1776"/>
      <c r="N78" s="1776"/>
      <c r="O78" s="1776"/>
      <c r="P78" s="1776"/>
      <c r="Q78" s="1776"/>
      <c r="R78" s="1776"/>
      <c r="S78" s="1776"/>
      <c r="T78" s="1776"/>
      <c r="U78" s="1777"/>
    </row>
    <row r="79" spans="1:21" x14ac:dyDescent="0.25">
      <c r="A79" s="1">
        <v>6</v>
      </c>
      <c r="B79" s="1782"/>
      <c r="C79" s="1783"/>
      <c r="D79" s="1776"/>
      <c r="E79" s="1776"/>
      <c r="F79" s="1776"/>
      <c r="G79" s="1776"/>
      <c r="H79" s="1776"/>
      <c r="I79" s="1776"/>
      <c r="J79" s="1776"/>
      <c r="K79" s="1776"/>
      <c r="L79" s="1776"/>
      <c r="M79" s="1776"/>
      <c r="N79" s="1776"/>
      <c r="O79" s="1776"/>
      <c r="P79" s="1776"/>
      <c r="Q79" s="1776"/>
      <c r="R79" s="1776"/>
      <c r="S79" s="1776"/>
      <c r="T79" s="1776"/>
      <c r="U79" s="1777"/>
    </row>
    <row r="80" spans="1:21" x14ac:dyDescent="0.25">
      <c r="A80" s="1">
        <v>7</v>
      </c>
      <c r="B80" s="1782"/>
      <c r="C80" s="1783"/>
      <c r="D80" s="1776"/>
      <c r="E80" s="1776"/>
      <c r="F80" s="1776"/>
      <c r="G80" s="1776"/>
      <c r="H80" s="1776"/>
      <c r="I80" s="1776"/>
      <c r="J80" s="1776"/>
      <c r="K80" s="1776"/>
      <c r="L80" s="1776"/>
      <c r="M80" s="1776"/>
      <c r="N80" s="1776"/>
      <c r="O80" s="1776"/>
      <c r="P80" s="1776"/>
      <c r="Q80" s="1776"/>
      <c r="R80" s="1776"/>
      <c r="S80" s="1776"/>
      <c r="T80" s="1776"/>
      <c r="U80" s="1777"/>
    </row>
    <row r="81" spans="1:21" x14ac:dyDescent="0.25">
      <c r="A81" s="1">
        <v>8</v>
      </c>
      <c r="B81" s="1782"/>
      <c r="C81" s="1783"/>
      <c r="D81" s="1776"/>
      <c r="E81" s="1776"/>
      <c r="F81" s="1776"/>
      <c r="G81" s="1776"/>
      <c r="H81" s="1776"/>
      <c r="I81" s="1776"/>
      <c r="J81" s="1776"/>
      <c r="K81" s="1776"/>
      <c r="L81" s="1776"/>
      <c r="M81" s="1776"/>
      <c r="N81" s="1776"/>
      <c r="O81" s="1776"/>
      <c r="P81" s="1776"/>
      <c r="Q81" s="1776"/>
      <c r="R81" s="1776"/>
      <c r="S81" s="1776"/>
      <c r="T81" s="1776"/>
      <c r="U81" s="1777"/>
    </row>
    <row r="82" spans="1:21" x14ac:dyDescent="0.25">
      <c r="A82" s="1">
        <v>9</v>
      </c>
      <c r="B82" s="1782"/>
      <c r="C82" s="1783"/>
      <c r="D82" s="1776"/>
      <c r="E82" s="1776"/>
      <c r="F82" s="1776"/>
      <c r="G82" s="1776"/>
      <c r="H82" s="1776"/>
      <c r="I82" s="1776"/>
      <c r="J82" s="1776"/>
      <c r="K82" s="1776"/>
      <c r="L82" s="1776"/>
      <c r="M82" s="1776"/>
      <c r="N82" s="1776"/>
      <c r="O82" s="1776"/>
      <c r="P82" s="1776"/>
      <c r="Q82" s="1776"/>
      <c r="R82" s="1776"/>
      <c r="S82" s="1776"/>
      <c r="T82" s="1776"/>
      <c r="U82" s="1777"/>
    </row>
    <row r="83" spans="1:21" x14ac:dyDescent="0.25">
      <c r="A83" s="1">
        <v>10</v>
      </c>
      <c r="B83" s="1782"/>
      <c r="C83" s="1783"/>
      <c r="D83" s="1776"/>
      <c r="E83" s="1776"/>
      <c r="F83" s="1776"/>
      <c r="G83" s="1776"/>
      <c r="H83" s="1776"/>
      <c r="I83" s="1776"/>
      <c r="J83" s="1776"/>
      <c r="K83" s="1776"/>
      <c r="L83" s="1776"/>
      <c r="M83" s="1776"/>
      <c r="N83" s="1776"/>
      <c r="O83" s="1776"/>
      <c r="P83" s="1776"/>
      <c r="Q83" s="1776"/>
      <c r="R83" s="1776"/>
      <c r="S83" s="1776"/>
      <c r="T83" s="1776"/>
      <c r="U83" s="1777"/>
    </row>
    <row r="84" spans="1:21" x14ac:dyDescent="0.25">
      <c r="A84" s="1">
        <v>11</v>
      </c>
      <c r="B84" s="1782"/>
      <c r="C84" s="1783"/>
      <c r="D84" s="1776"/>
      <c r="E84" s="1776"/>
      <c r="F84" s="1776"/>
      <c r="G84" s="1776"/>
      <c r="H84" s="1776"/>
      <c r="I84" s="1776"/>
      <c r="J84" s="1776"/>
      <c r="K84" s="1776"/>
      <c r="L84" s="1776"/>
      <c r="M84" s="1776"/>
      <c r="N84" s="1776"/>
      <c r="O84" s="1776"/>
      <c r="P84" s="1776"/>
      <c r="Q84" s="1776"/>
      <c r="R84" s="1776"/>
      <c r="S84" s="1776"/>
      <c r="T84" s="1776"/>
      <c r="U84" s="1777"/>
    </row>
    <row r="85" spans="1:21" x14ac:dyDescent="0.25">
      <c r="A85" s="1">
        <v>12</v>
      </c>
      <c r="B85" s="1782"/>
      <c r="C85" s="1783"/>
      <c r="D85" s="1776"/>
      <c r="E85" s="1776"/>
      <c r="F85" s="1776"/>
      <c r="G85" s="1776"/>
      <c r="H85" s="1776"/>
      <c r="I85" s="1776"/>
      <c r="J85" s="1776"/>
      <c r="K85" s="1776"/>
      <c r="L85" s="1776"/>
      <c r="M85" s="1776"/>
      <c r="N85" s="1776"/>
      <c r="O85" s="1776"/>
      <c r="P85" s="1776"/>
      <c r="Q85" s="1776"/>
      <c r="R85" s="1776"/>
      <c r="S85" s="1776"/>
      <c r="T85" s="1776"/>
      <c r="U85" s="1777"/>
    </row>
    <row r="86" spans="1:21" x14ac:dyDescent="0.25">
      <c r="A86" s="1">
        <v>13</v>
      </c>
      <c r="B86" s="1782"/>
      <c r="C86" s="1783"/>
      <c r="D86" s="1776"/>
      <c r="E86" s="1776"/>
      <c r="F86" s="1776"/>
      <c r="G86" s="1776"/>
      <c r="H86" s="1776"/>
      <c r="I86" s="1776"/>
      <c r="J86" s="1776"/>
      <c r="K86" s="1776"/>
      <c r="L86" s="1776"/>
      <c r="M86" s="1776"/>
      <c r="N86" s="1776"/>
      <c r="O86" s="1776"/>
      <c r="P86" s="1776"/>
      <c r="Q86" s="1776"/>
      <c r="R86" s="1776"/>
      <c r="S86" s="1776"/>
      <c r="T86" s="1776"/>
      <c r="U86" s="1777"/>
    </row>
    <row r="87" spans="1:21" x14ac:dyDescent="0.25">
      <c r="A87" s="1">
        <v>14</v>
      </c>
      <c r="B87" s="1782"/>
      <c r="C87" s="1783"/>
      <c r="D87" s="1776"/>
      <c r="E87" s="1776"/>
      <c r="F87" s="1776"/>
      <c r="G87" s="1776"/>
      <c r="H87" s="1776"/>
      <c r="I87" s="1776"/>
      <c r="J87" s="1776"/>
      <c r="K87" s="1776"/>
      <c r="L87" s="1776"/>
      <c r="M87" s="1776"/>
      <c r="N87" s="1776"/>
      <c r="O87" s="1776"/>
      <c r="P87" s="1776"/>
      <c r="Q87" s="1776"/>
      <c r="R87" s="1776"/>
      <c r="S87" s="1776"/>
      <c r="T87" s="1776"/>
      <c r="U87" s="1777"/>
    </row>
    <row r="88" spans="1:21" x14ac:dyDescent="0.25">
      <c r="A88" s="1">
        <v>15</v>
      </c>
      <c r="B88" s="1782"/>
      <c r="C88" s="1783"/>
      <c r="D88" s="1776"/>
      <c r="E88" s="1776"/>
      <c r="F88" s="1776"/>
      <c r="G88" s="1776"/>
      <c r="H88" s="1776"/>
      <c r="I88" s="1776"/>
      <c r="J88" s="1776"/>
      <c r="K88" s="1776"/>
      <c r="L88" s="1776"/>
      <c r="M88" s="1776"/>
      <c r="N88" s="1776"/>
      <c r="O88" s="1776"/>
      <c r="P88" s="1776"/>
      <c r="Q88" s="1776"/>
      <c r="R88" s="1776"/>
      <c r="S88" s="1776"/>
      <c r="T88" s="1776"/>
      <c r="U88" s="1777"/>
    </row>
    <row r="89" spans="1:21" x14ac:dyDescent="0.25">
      <c r="A89" s="1">
        <v>16</v>
      </c>
      <c r="B89" s="1782"/>
      <c r="C89" s="1783"/>
      <c r="D89" s="1776"/>
      <c r="E89" s="1776"/>
      <c r="F89" s="1776"/>
      <c r="G89" s="1776"/>
      <c r="H89" s="1776"/>
      <c r="I89" s="1776"/>
      <c r="J89" s="1776"/>
      <c r="K89" s="1776"/>
      <c r="L89" s="1776"/>
      <c r="M89" s="1776"/>
      <c r="N89" s="1776"/>
      <c r="O89" s="1776"/>
      <c r="P89" s="1776"/>
      <c r="Q89" s="1776"/>
      <c r="R89" s="1776"/>
      <c r="S89" s="1776"/>
      <c r="T89" s="1776"/>
      <c r="U89" s="1777"/>
    </row>
    <row r="90" spans="1:21" x14ac:dyDescent="0.25">
      <c r="A90" s="1">
        <v>17</v>
      </c>
      <c r="B90" s="1782"/>
      <c r="C90" s="1783"/>
      <c r="D90" s="1776"/>
      <c r="E90" s="1776"/>
      <c r="F90" s="1776"/>
      <c r="G90" s="1776"/>
      <c r="H90" s="1776"/>
      <c r="I90" s="1776"/>
      <c r="J90" s="1776"/>
      <c r="K90" s="1776"/>
      <c r="L90" s="1776"/>
      <c r="M90" s="1776"/>
      <c r="N90" s="1776"/>
      <c r="O90" s="1776"/>
      <c r="P90" s="1776"/>
      <c r="Q90" s="1776"/>
      <c r="R90" s="1776"/>
      <c r="S90" s="1776"/>
      <c r="T90" s="1776"/>
      <c r="U90" s="1777"/>
    </row>
    <row r="91" spans="1:21" x14ac:dyDescent="0.25">
      <c r="A91" s="1">
        <v>18</v>
      </c>
      <c r="B91" s="1782"/>
      <c r="C91" s="1783"/>
      <c r="D91" s="1776"/>
      <c r="E91" s="1776"/>
      <c r="F91" s="1776"/>
      <c r="G91" s="1776"/>
      <c r="H91" s="1776"/>
      <c r="I91" s="1776"/>
      <c r="J91" s="1776"/>
      <c r="K91" s="1776"/>
      <c r="L91" s="1776"/>
      <c r="M91" s="1776"/>
      <c r="N91" s="1776"/>
      <c r="O91" s="1776"/>
      <c r="P91" s="1776"/>
      <c r="Q91" s="1776"/>
      <c r="R91" s="1776"/>
      <c r="S91" s="1776"/>
      <c r="T91" s="1776"/>
      <c r="U91" s="1777"/>
    </row>
    <row r="92" spans="1:21" x14ac:dyDescent="0.25">
      <c r="A92" s="1">
        <v>19</v>
      </c>
      <c r="B92" s="1782"/>
      <c r="C92" s="1783"/>
      <c r="D92" s="1776"/>
      <c r="E92" s="1776"/>
      <c r="F92" s="1776"/>
      <c r="G92" s="1776"/>
      <c r="H92" s="1776"/>
      <c r="I92" s="1776"/>
      <c r="J92" s="1776"/>
      <c r="K92" s="1776"/>
      <c r="L92" s="1776"/>
      <c r="M92" s="1776"/>
      <c r="N92" s="1776"/>
      <c r="O92" s="1776"/>
      <c r="P92" s="1776"/>
      <c r="Q92" s="1776"/>
      <c r="R92" s="1776"/>
      <c r="S92" s="1776"/>
      <c r="T92" s="1776"/>
      <c r="U92" s="1777"/>
    </row>
    <row r="93" spans="1:21" x14ac:dyDescent="0.25">
      <c r="A93" s="1">
        <v>20</v>
      </c>
      <c r="B93" s="1782"/>
      <c r="C93" s="1783"/>
      <c r="D93" s="1776"/>
      <c r="E93" s="1776"/>
      <c r="F93" s="1776"/>
      <c r="G93" s="1776"/>
      <c r="H93" s="1776"/>
      <c r="I93" s="1776"/>
      <c r="J93" s="1776"/>
      <c r="K93" s="1776"/>
      <c r="L93" s="1776"/>
      <c r="M93" s="1776"/>
      <c r="N93" s="1776"/>
      <c r="O93" s="1776"/>
      <c r="P93" s="1776"/>
      <c r="Q93" s="1776"/>
      <c r="R93" s="1776"/>
      <c r="S93" s="1776"/>
      <c r="T93" s="1776"/>
      <c r="U93" s="1777"/>
    </row>
    <row r="94" spans="1:21" x14ac:dyDescent="0.25">
      <c r="A94" s="1">
        <v>21</v>
      </c>
      <c r="B94" s="1782"/>
      <c r="C94" s="1783"/>
      <c r="D94" s="1776"/>
      <c r="E94" s="1776"/>
      <c r="F94" s="1776"/>
      <c r="G94" s="1776"/>
      <c r="H94" s="1776"/>
      <c r="I94" s="1776"/>
      <c r="J94" s="1776"/>
      <c r="K94" s="1776"/>
      <c r="L94" s="1776"/>
      <c r="M94" s="1776"/>
      <c r="N94" s="1776"/>
      <c r="O94" s="1776"/>
      <c r="P94" s="1776"/>
      <c r="Q94" s="1776"/>
      <c r="R94" s="1776"/>
      <c r="S94" s="1776"/>
      <c r="T94" s="1776"/>
      <c r="U94" s="1777"/>
    </row>
    <row r="95" spans="1:21" x14ac:dyDescent="0.25">
      <c r="A95" s="1">
        <v>22</v>
      </c>
      <c r="B95" s="1782"/>
      <c r="C95" s="1783"/>
      <c r="D95" s="1776"/>
      <c r="E95" s="1776"/>
      <c r="F95" s="1776"/>
      <c r="G95" s="1776"/>
      <c r="H95" s="1776"/>
      <c r="I95" s="1776"/>
      <c r="J95" s="1776"/>
      <c r="K95" s="1776"/>
      <c r="L95" s="1776"/>
      <c r="M95" s="1776"/>
      <c r="N95" s="1776"/>
      <c r="O95" s="1776"/>
      <c r="P95" s="1776"/>
      <c r="Q95" s="1776"/>
      <c r="R95" s="1776"/>
      <c r="S95" s="1776"/>
      <c r="T95" s="1776"/>
      <c r="U95" s="1777"/>
    </row>
    <row r="96" spans="1:21" x14ac:dyDescent="0.25">
      <c r="A96" s="1">
        <v>23</v>
      </c>
      <c r="B96" s="1782"/>
      <c r="C96" s="1783"/>
      <c r="D96" s="1776"/>
      <c r="E96" s="1776"/>
      <c r="F96" s="1776"/>
      <c r="G96" s="1776"/>
      <c r="H96" s="1776"/>
      <c r="I96" s="1776"/>
      <c r="J96" s="1776"/>
      <c r="K96" s="1776"/>
      <c r="L96" s="1776"/>
      <c r="M96" s="1776"/>
      <c r="N96" s="1776"/>
      <c r="O96" s="1776"/>
      <c r="P96" s="1776"/>
      <c r="Q96" s="1776"/>
      <c r="R96" s="1776"/>
      <c r="S96" s="1776"/>
      <c r="T96" s="1776"/>
      <c r="U96" s="1777"/>
    </row>
    <row r="97" spans="1:21" x14ac:dyDescent="0.25">
      <c r="A97" s="1">
        <v>24</v>
      </c>
      <c r="B97" s="1782"/>
      <c r="C97" s="1783"/>
      <c r="D97" s="1776"/>
      <c r="E97" s="1776"/>
      <c r="F97" s="1776"/>
      <c r="G97" s="1776"/>
      <c r="H97" s="1776"/>
      <c r="I97" s="1776"/>
      <c r="J97" s="1776"/>
      <c r="K97" s="1776"/>
      <c r="L97" s="1776"/>
      <c r="M97" s="1776"/>
      <c r="N97" s="1776"/>
      <c r="O97" s="1776"/>
      <c r="P97" s="1776"/>
      <c r="Q97" s="1776"/>
      <c r="R97" s="1776"/>
      <c r="S97" s="1776"/>
      <c r="T97" s="1776"/>
      <c r="U97" s="1777"/>
    </row>
    <row r="98" spans="1:21" x14ac:dyDescent="0.25">
      <c r="A98" s="1">
        <v>25</v>
      </c>
      <c r="B98" s="1782"/>
      <c r="C98" s="1783"/>
      <c r="D98" s="1776"/>
      <c r="E98" s="1776"/>
      <c r="F98" s="1776"/>
      <c r="G98" s="1776"/>
      <c r="H98" s="1776"/>
      <c r="I98" s="1776"/>
      <c r="J98" s="1776"/>
      <c r="K98" s="1776"/>
      <c r="L98" s="1776"/>
      <c r="M98" s="1776"/>
      <c r="N98" s="1776"/>
      <c r="O98" s="1776"/>
      <c r="P98" s="1776"/>
      <c r="Q98" s="1776"/>
      <c r="R98" s="1776"/>
      <c r="S98" s="1776"/>
      <c r="T98" s="1776"/>
      <c r="U98" s="1777"/>
    </row>
    <row r="99" spans="1:21" x14ac:dyDescent="0.25">
      <c r="A99" s="1">
        <v>26</v>
      </c>
      <c r="B99" s="1782"/>
      <c r="C99" s="1783"/>
      <c r="D99" s="1776"/>
      <c r="E99" s="1776"/>
      <c r="F99" s="1776"/>
      <c r="G99" s="1776"/>
      <c r="H99" s="1776"/>
      <c r="I99" s="1776"/>
      <c r="J99" s="1776"/>
      <c r="K99" s="1776"/>
      <c r="L99" s="1776"/>
      <c r="M99" s="1776"/>
      <c r="N99" s="1776"/>
      <c r="O99" s="1776"/>
      <c r="P99" s="1776"/>
      <c r="Q99" s="1776"/>
      <c r="R99" s="1776"/>
      <c r="S99" s="1776"/>
      <c r="T99" s="1776"/>
      <c r="U99" s="1777"/>
    </row>
    <row r="100" spans="1:21" x14ac:dyDescent="0.25">
      <c r="A100" s="1">
        <v>27</v>
      </c>
      <c r="B100" s="1782"/>
      <c r="C100" s="1783"/>
      <c r="D100" s="1776"/>
      <c r="E100" s="1776"/>
      <c r="F100" s="1776"/>
      <c r="G100" s="1776"/>
      <c r="H100" s="1776"/>
      <c r="I100" s="1776"/>
      <c r="J100" s="1776"/>
      <c r="K100" s="1776"/>
      <c r="L100" s="1776"/>
      <c r="M100" s="1776"/>
      <c r="N100" s="1776"/>
      <c r="O100" s="1776"/>
      <c r="P100" s="1776"/>
      <c r="Q100" s="1776"/>
      <c r="R100" s="1776"/>
      <c r="S100" s="1776"/>
      <c r="T100" s="1776"/>
      <c r="U100" s="1777"/>
    </row>
    <row r="101" spans="1:21" x14ac:dyDescent="0.25">
      <c r="A101" s="1">
        <v>28</v>
      </c>
      <c r="B101" s="1782"/>
      <c r="C101" s="1783"/>
      <c r="D101" s="1776"/>
      <c r="E101" s="1776"/>
      <c r="F101" s="1776"/>
      <c r="G101" s="1776"/>
      <c r="H101" s="1776"/>
      <c r="I101" s="1776"/>
      <c r="J101" s="1776"/>
      <c r="K101" s="1776"/>
      <c r="L101" s="1776"/>
      <c r="M101" s="1776"/>
      <c r="N101" s="1776"/>
      <c r="O101" s="1776"/>
      <c r="P101" s="1776"/>
      <c r="Q101" s="1776"/>
      <c r="R101" s="1776"/>
      <c r="S101" s="1776"/>
      <c r="T101" s="1776"/>
      <c r="U101" s="1777"/>
    </row>
    <row r="102" spans="1:21" x14ac:dyDescent="0.25">
      <c r="A102" s="1">
        <v>29</v>
      </c>
      <c r="B102" s="1782"/>
      <c r="C102" s="1783"/>
      <c r="D102" s="1776"/>
      <c r="E102" s="1776"/>
      <c r="F102" s="1776"/>
      <c r="G102" s="1776"/>
      <c r="H102" s="1776"/>
      <c r="I102" s="1776"/>
      <c r="J102" s="1776"/>
      <c r="K102" s="1776"/>
      <c r="L102" s="1776"/>
      <c r="M102" s="1776"/>
      <c r="N102" s="1776"/>
      <c r="O102" s="1776"/>
      <c r="P102" s="1776"/>
      <c r="Q102" s="1776"/>
      <c r="R102" s="1776"/>
      <c r="S102" s="1776"/>
      <c r="T102" s="1776"/>
      <c r="U102" s="1777"/>
    </row>
    <row r="103" spans="1:21" x14ac:dyDescent="0.25">
      <c r="A103" s="1">
        <v>30</v>
      </c>
      <c r="B103" s="1782"/>
      <c r="C103" s="1783"/>
      <c r="D103" s="1776"/>
      <c r="E103" s="1776"/>
      <c r="F103" s="1776"/>
      <c r="G103" s="1776"/>
      <c r="H103" s="1776"/>
      <c r="I103" s="1776"/>
      <c r="J103" s="1776"/>
      <c r="K103" s="1776"/>
      <c r="L103" s="1776"/>
      <c r="M103" s="1776"/>
      <c r="N103" s="1776"/>
      <c r="O103" s="1776"/>
      <c r="P103" s="1776"/>
      <c r="Q103" s="1776"/>
      <c r="R103" s="1776"/>
      <c r="S103" s="1776"/>
      <c r="T103" s="1776"/>
      <c r="U103" s="1777"/>
    </row>
    <row r="104" spans="1:21" x14ac:dyDescent="0.25">
      <c r="A104" s="1">
        <v>31</v>
      </c>
      <c r="B104" s="1782"/>
      <c r="C104" s="1783"/>
      <c r="D104" s="1776"/>
      <c r="E104" s="1776"/>
      <c r="F104" s="1776"/>
      <c r="G104" s="1776"/>
      <c r="H104" s="1776"/>
      <c r="I104" s="1776"/>
      <c r="J104" s="1776"/>
      <c r="K104" s="1776"/>
      <c r="L104" s="1776"/>
      <c r="M104" s="1776"/>
      <c r="N104" s="1776"/>
      <c r="O104" s="1776"/>
      <c r="P104" s="1776"/>
      <c r="Q104" s="1776"/>
      <c r="R104" s="1776"/>
      <c r="S104" s="1776"/>
      <c r="T104" s="1776"/>
      <c r="U104" s="1777"/>
    </row>
    <row r="105" spans="1:21" x14ac:dyDescent="0.25">
      <c r="A105" s="1">
        <v>32</v>
      </c>
      <c r="B105" s="1782"/>
      <c r="C105" s="1783"/>
      <c r="D105" s="1776"/>
      <c r="E105" s="1776"/>
      <c r="F105" s="1776"/>
      <c r="G105" s="1776"/>
      <c r="H105" s="1776"/>
      <c r="I105" s="1776"/>
      <c r="J105" s="1776"/>
      <c r="K105" s="1776"/>
      <c r="L105" s="1776"/>
      <c r="M105" s="1776"/>
      <c r="N105" s="1776"/>
      <c r="O105" s="1776"/>
      <c r="P105" s="1776"/>
      <c r="Q105" s="1776"/>
      <c r="R105" s="1776"/>
      <c r="S105" s="1776"/>
      <c r="T105" s="1776"/>
      <c r="U105" s="1777"/>
    </row>
    <row r="106" spans="1:21" x14ac:dyDescent="0.25">
      <c r="A106" s="1">
        <v>33</v>
      </c>
      <c r="B106" s="1782"/>
      <c r="C106" s="1783"/>
      <c r="D106" s="1776"/>
      <c r="E106" s="1776"/>
      <c r="F106" s="1776"/>
      <c r="G106" s="1776"/>
      <c r="H106" s="1776"/>
      <c r="I106" s="1776"/>
      <c r="J106" s="1776"/>
      <c r="K106" s="1776"/>
      <c r="L106" s="1776"/>
      <c r="M106" s="1776"/>
      <c r="N106" s="1776"/>
      <c r="O106" s="1776"/>
      <c r="P106" s="1776"/>
      <c r="Q106" s="1776"/>
      <c r="R106" s="1776"/>
      <c r="S106" s="1776"/>
      <c r="T106" s="1776"/>
      <c r="U106" s="1777"/>
    </row>
    <row r="107" spans="1:21" x14ac:dyDescent="0.25">
      <c r="A107" s="1">
        <v>34</v>
      </c>
      <c r="B107" s="1782"/>
      <c r="C107" s="1783"/>
      <c r="D107" s="1776"/>
      <c r="E107" s="1776"/>
      <c r="F107" s="1776"/>
      <c r="G107" s="1776"/>
      <c r="H107" s="1776"/>
      <c r="I107" s="1776"/>
      <c r="J107" s="1776"/>
      <c r="K107" s="1776"/>
      <c r="L107" s="1776"/>
      <c r="M107" s="1776"/>
      <c r="N107" s="1776"/>
      <c r="O107" s="1776"/>
      <c r="P107" s="1776"/>
      <c r="Q107" s="1776"/>
      <c r="R107" s="1776"/>
      <c r="S107" s="1776"/>
      <c r="T107" s="1776"/>
      <c r="U107" s="1777"/>
    </row>
    <row r="108" spans="1:21" x14ac:dyDescent="0.25">
      <c r="A108" s="1">
        <v>35</v>
      </c>
      <c r="B108" s="1782"/>
      <c r="C108" s="1783"/>
      <c r="D108" s="1776"/>
      <c r="E108" s="1776"/>
      <c r="F108" s="1776"/>
      <c r="G108" s="1776"/>
      <c r="H108" s="1776"/>
      <c r="I108" s="1776"/>
      <c r="J108" s="1776"/>
      <c r="K108" s="1776"/>
      <c r="L108" s="1776"/>
      <c r="M108" s="1776"/>
      <c r="N108" s="1776"/>
      <c r="O108" s="1776"/>
      <c r="P108" s="1776"/>
      <c r="Q108" s="1776"/>
      <c r="R108" s="1776"/>
      <c r="S108" s="1776"/>
      <c r="T108" s="1776"/>
      <c r="U108" s="1777"/>
    </row>
    <row r="109" spans="1:21" x14ac:dyDescent="0.25">
      <c r="A109" s="1">
        <v>36</v>
      </c>
      <c r="B109" s="1782"/>
      <c r="C109" s="1783"/>
      <c r="D109" s="1776"/>
      <c r="E109" s="1776"/>
      <c r="F109" s="1776"/>
      <c r="G109" s="1776"/>
      <c r="H109" s="1776"/>
      <c r="I109" s="1776"/>
      <c r="J109" s="1776"/>
      <c r="K109" s="1776"/>
      <c r="L109" s="1776"/>
      <c r="M109" s="1776"/>
      <c r="N109" s="1776"/>
      <c r="O109" s="1776"/>
      <c r="P109" s="1776"/>
      <c r="Q109" s="1776"/>
      <c r="R109" s="1776"/>
      <c r="S109" s="1776"/>
      <c r="T109" s="1776"/>
      <c r="U109" s="1777"/>
    </row>
    <row r="110" spans="1:21" x14ac:dyDescent="0.25">
      <c r="A110" s="1">
        <v>37</v>
      </c>
      <c r="B110" s="1782"/>
      <c r="C110" s="1783"/>
      <c r="D110" s="1776"/>
      <c r="E110" s="1776"/>
      <c r="F110" s="1776"/>
      <c r="G110" s="1776"/>
      <c r="H110" s="1776"/>
      <c r="I110" s="1776"/>
      <c r="J110" s="1776"/>
      <c r="K110" s="1776"/>
      <c r="L110" s="1776"/>
      <c r="M110" s="1776"/>
      <c r="N110" s="1776"/>
      <c r="O110" s="1776"/>
      <c r="P110" s="1776"/>
      <c r="Q110" s="1776"/>
      <c r="R110" s="1776"/>
      <c r="S110" s="1776"/>
      <c r="T110" s="1776"/>
      <c r="U110" s="1777"/>
    </row>
    <row r="111" spans="1:21" x14ac:dyDescent="0.25">
      <c r="A111" s="1">
        <v>38</v>
      </c>
      <c r="B111" s="1782"/>
      <c r="C111" s="1783"/>
      <c r="D111" s="1776"/>
      <c r="E111" s="1776"/>
      <c r="F111" s="1776"/>
      <c r="G111" s="1776"/>
      <c r="H111" s="1776"/>
      <c r="I111" s="1776"/>
      <c r="J111" s="1776"/>
      <c r="K111" s="1776"/>
      <c r="L111" s="1776"/>
      <c r="M111" s="1776"/>
      <c r="N111" s="1776"/>
      <c r="O111" s="1776"/>
      <c r="P111" s="1776"/>
      <c r="Q111" s="1776"/>
      <c r="R111" s="1776"/>
      <c r="S111" s="1776"/>
      <c r="T111" s="1776"/>
      <c r="U111" s="1777"/>
    </row>
    <row r="112" spans="1:21" x14ac:dyDescent="0.25">
      <c r="A112" s="1">
        <v>39</v>
      </c>
      <c r="B112" s="1782"/>
      <c r="C112" s="1783"/>
      <c r="D112" s="1776"/>
      <c r="E112" s="1776"/>
      <c r="F112" s="1776"/>
      <c r="G112" s="1776"/>
      <c r="H112" s="1776"/>
      <c r="I112" s="1776"/>
      <c r="J112" s="1776"/>
      <c r="K112" s="1776"/>
      <c r="L112" s="1776"/>
      <c r="M112" s="1776"/>
      <c r="N112" s="1776"/>
      <c r="O112" s="1776"/>
      <c r="P112" s="1776"/>
      <c r="Q112" s="1776"/>
      <c r="R112" s="1776"/>
      <c r="S112" s="1776"/>
      <c r="T112" s="1776"/>
      <c r="U112" s="1777"/>
    </row>
    <row r="113" spans="1:21" x14ac:dyDescent="0.25">
      <c r="A113" s="1">
        <v>40</v>
      </c>
      <c r="B113" s="1782"/>
      <c r="C113" s="1783"/>
      <c r="D113" s="1776"/>
      <c r="E113" s="1776"/>
      <c r="F113" s="1776"/>
      <c r="G113" s="1776"/>
      <c r="H113" s="1776"/>
      <c r="I113" s="1776"/>
      <c r="J113" s="1776"/>
      <c r="K113" s="1776"/>
      <c r="L113" s="1776"/>
      <c r="M113" s="1776"/>
      <c r="N113" s="1776"/>
      <c r="O113" s="1776"/>
      <c r="P113" s="1776"/>
      <c r="Q113" s="1776"/>
      <c r="R113" s="1776"/>
      <c r="S113" s="1776"/>
      <c r="T113" s="1776"/>
      <c r="U113" s="1777"/>
    </row>
    <row r="114" spans="1:21" x14ac:dyDescent="0.25">
      <c r="A114" s="1">
        <v>41</v>
      </c>
      <c r="B114" s="1782"/>
      <c r="C114" s="1783"/>
      <c r="D114" s="1776"/>
      <c r="E114" s="1776"/>
      <c r="F114" s="1776"/>
      <c r="G114" s="1776"/>
      <c r="H114" s="1776"/>
      <c r="I114" s="1776"/>
      <c r="J114" s="1776"/>
      <c r="K114" s="1776"/>
      <c r="L114" s="1776"/>
      <c r="M114" s="1776"/>
      <c r="N114" s="1776"/>
      <c r="O114" s="1776"/>
      <c r="P114" s="1776"/>
      <c r="Q114" s="1776"/>
      <c r="R114" s="1776"/>
      <c r="S114" s="1776"/>
      <c r="T114" s="1776"/>
      <c r="U114" s="1777"/>
    </row>
    <row r="115" spans="1:21" ht="12.95" customHeight="1" thickBot="1" x14ac:dyDescent="0.3">
      <c r="A115" s="1">
        <v>42</v>
      </c>
      <c r="B115" s="1784"/>
      <c r="C115" s="1785"/>
      <c r="D115" s="1778"/>
      <c r="E115" s="1778"/>
      <c r="F115" s="1778"/>
      <c r="G115" s="1778"/>
      <c r="H115" s="1778"/>
      <c r="I115" s="1778"/>
      <c r="J115" s="1778"/>
      <c r="K115" s="1778"/>
      <c r="L115" s="1778"/>
      <c r="M115" s="1778"/>
      <c r="N115" s="1778"/>
      <c r="O115" s="1778"/>
      <c r="P115" s="1778"/>
      <c r="Q115" s="1778"/>
      <c r="R115" s="1778"/>
      <c r="S115" s="1778"/>
      <c r="T115" s="1778"/>
      <c r="U115" s="1779"/>
    </row>
    <row r="116" spans="1:21" x14ac:dyDescent="0.25">
      <c r="A116" s="1">
        <v>43</v>
      </c>
    </row>
    <row r="117" spans="1:21" x14ac:dyDescent="0.25">
      <c r="A117" s="1">
        <v>50</v>
      </c>
    </row>
    <row r="118" spans="1:21" ht="12.95" customHeight="1" x14ac:dyDescent="0.25">
      <c r="A118" s="1">
        <v>51</v>
      </c>
      <c r="B118" s="1742" t="s">
        <v>479</v>
      </c>
      <c r="C118" s="1742"/>
      <c r="D118" s="1742"/>
      <c r="E118" s="1742"/>
      <c r="F118" s="1742"/>
      <c r="G118" s="122"/>
      <c r="H118" s="122"/>
      <c r="Q118" s="1742" t="s">
        <v>480</v>
      </c>
      <c r="R118" s="1742"/>
      <c r="S118" s="1742"/>
      <c r="T118" s="1742"/>
      <c r="U118" s="1742"/>
    </row>
    <row r="119" spans="1:21" ht="12.95" customHeight="1" x14ac:dyDescent="0.25">
      <c r="A119" s="1">
        <v>52</v>
      </c>
      <c r="B119" s="1743" t="str">
        <f>IF(AND('DATI INGRESSO'!$D$17="X",'DATI INGRESSO'!$D$20="X"),'DATI INGRESSO'!H20,"X")</f>
        <v>X</v>
      </c>
      <c r="C119" s="1743"/>
      <c r="D119" s="1743"/>
      <c r="E119" s="1743"/>
      <c r="F119" s="1743"/>
      <c r="G119" s="30"/>
      <c r="H119" s="30"/>
      <c r="I119" s="30"/>
      <c r="O119" s="30"/>
      <c r="P119" s="30"/>
      <c r="Q119" s="1743" t="str">
        <f>IF(AND('DATI INGRESSO'!$D$17="X",'DATI INGRESSO'!$D$20="X"),'DATI INGRESSO'!H22,"X")</f>
        <v>X</v>
      </c>
      <c r="R119" s="1743"/>
      <c r="S119" s="1743"/>
      <c r="T119" s="1743"/>
      <c r="U119" s="1743"/>
    </row>
    <row r="120" spans="1:21" x14ac:dyDescent="0.25">
      <c r="A120" s="1">
        <v>53</v>
      </c>
    </row>
    <row r="121" spans="1:21" x14ac:dyDescent="0.25">
      <c r="A121" s="1">
        <v>54</v>
      </c>
    </row>
    <row r="122" spans="1:21" x14ac:dyDescent="0.25">
      <c r="A122" s="1">
        <v>55</v>
      </c>
    </row>
    <row r="123" spans="1:21" x14ac:dyDescent="0.25">
      <c r="A123" s="1">
        <v>56</v>
      </c>
    </row>
    <row r="124" spans="1:21" x14ac:dyDescent="0.25">
      <c r="A124" s="1">
        <v>57</v>
      </c>
    </row>
    <row r="125" spans="1:21" x14ac:dyDescent="0.25">
      <c r="A125" s="1">
        <v>58</v>
      </c>
    </row>
    <row r="126" spans="1:21" x14ac:dyDescent="0.25">
      <c r="A126" s="1">
        <v>59</v>
      </c>
    </row>
    <row r="127" spans="1:21" x14ac:dyDescent="0.25">
      <c r="A127" s="1">
        <v>60</v>
      </c>
    </row>
    <row r="128" spans="1:21" x14ac:dyDescent="0.25">
      <c r="A128" s="1">
        <v>61</v>
      </c>
    </row>
    <row r="129" spans="1:1" x14ac:dyDescent="0.25">
      <c r="A129" s="1">
        <v>62</v>
      </c>
    </row>
    <row r="130" spans="1:1" x14ac:dyDescent="0.25">
      <c r="A130" s="1">
        <v>63</v>
      </c>
    </row>
    <row r="131" spans="1:1" x14ac:dyDescent="0.25">
      <c r="A131" s="1">
        <v>64</v>
      </c>
    </row>
    <row r="132" spans="1:1" x14ac:dyDescent="0.25">
      <c r="A132" s="1">
        <v>65</v>
      </c>
    </row>
    <row r="133" spans="1:1" x14ac:dyDescent="0.25">
      <c r="A133" s="1">
        <v>66</v>
      </c>
    </row>
    <row r="134" spans="1:1" x14ac:dyDescent="0.25">
      <c r="A134" s="1">
        <v>67</v>
      </c>
    </row>
    <row r="135" spans="1:1" x14ac:dyDescent="0.25">
      <c r="A135" s="1">
        <v>68</v>
      </c>
    </row>
    <row r="136" spans="1:1" x14ac:dyDescent="0.25">
      <c r="A136" s="1">
        <v>69</v>
      </c>
    </row>
    <row r="137" spans="1:1" x14ac:dyDescent="0.25">
      <c r="A137" s="1">
        <v>70</v>
      </c>
    </row>
    <row r="138" spans="1:1" x14ac:dyDescent="0.25">
      <c r="A138" s="1">
        <v>71</v>
      </c>
    </row>
    <row r="139" spans="1:1" x14ac:dyDescent="0.25">
      <c r="A139" s="1">
        <v>72</v>
      </c>
    </row>
    <row r="140" spans="1:1" x14ac:dyDescent="0.25">
      <c r="A140" s="1">
        <v>73</v>
      </c>
    </row>
    <row r="141" spans="1:1" x14ac:dyDescent="0.25">
      <c r="A141" s="1">
        <v>74</v>
      </c>
    </row>
    <row r="142" spans="1:1" x14ac:dyDescent="0.25">
      <c r="A142" s="1">
        <v>75</v>
      </c>
    </row>
    <row r="143" spans="1:1" x14ac:dyDescent="0.25">
      <c r="A143" s="1">
        <v>76</v>
      </c>
    </row>
    <row r="144" spans="1:1" x14ac:dyDescent="0.25">
      <c r="A144" s="1">
        <v>77</v>
      </c>
    </row>
  </sheetData>
  <sheetProtection algorithmName="SHA-512" hashValue="ZH1hV8enj6gSmxSj6XpBvUB/MownFBm2qfBYcsQ47E7Yxll5aOYuYZD2OZtiTcaY8R4eCyRIf7SwQJuLvSr1fQ==" saltValue="SfAShEcf2X1+wEJuFbbeBA==" spinCount="100000" sheet="1" objects="1" scenarios="1"/>
  <mergeCells count="164">
    <mergeCell ref="C56:F56"/>
    <mergeCell ref="G56:H56"/>
    <mergeCell ref="I56:U56"/>
    <mergeCell ref="C71:F71"/>
    <mergeCell ref="G71:H71"/>
    <mergeCell ref="I71:U71"/>
    <mergeCell ref="B51:E51"/>
    <mergeCell ref="F51:G51"/>
    <mergeCell ref="B52:H52"/>
    <mergeCell ref="C69:F69"/>
    <mergeCell ref="G69:H69"/>
    <mergeCell ref="I69:U69"/>
    <mergeCell ref="C70:F70"/>
    <mergeCell ref="G70:H70"/>
    <mergeCell ref="I70:U70"/>
    <mergeCell ref="C57:F57"/>
    <mergeCell ref="G57:H57"/>
    <mergeCell ref="I57:U57"/>
    <mergeCell ref="C54:F54"/>
    <mergeCell ref="G54:H54"/>
    <mergeCell ref="I54:U54"/>
    <mergeCell ref="C55:F55"/>
    <mergeCell ref="G55:H55"/>
    <mergeCell ref="I55:U55"/>
    <mergeCell ref="B118:F118"/>
    <mergeCell ref="Q118:U118"/>
    <mergeCell ref="C60:F60"/>
    <mergeCell ref="G60:H60"/>
    <mergeCell ref="I60:U60"/>
    <mergeCell ref="C61:F61"/>
    <mergeCell ref="G61:H61"/>
    <mergeCell ref="I61:U61"/>
    <mergeCell ref="C58:F58"/>
    <mergeCell ref="G58:H58"/>
    <mergeCell ref="I58:U58"/>
    <mergeCell ref="C59:F59"/>
    <mergeCell ref="G59:H59"/>
    <mergeCell ref="I59:U59"/>
    <mergeCell ref="B119:F119"/>
    <mergeCell ref="Q119:U119"/>
    <mergeCell ref="C64:F64"/>
    <mergeCell ref="G64:H64"/>
    <mergeCell ref="I64:U64"/>
    <mergeCell ref="B72:E72"/>
    <mergeCell ref="F72:G72"/>
    <mergeCell ref="C62:F62"/>
    <mergeCell ref="G62:H62"/>
    <mergeCell ref="I62:U62"/>
    <mergeCell ref="C63:F63"/>
    <mergeCell ref="G63:H63"/>
    <mergeCell ref="I63:U63"/>
    <mergeCell ref="C68:F68"/>
    <mergeCell ref="G68:H68"/>
    <mergeCell ref="I68:U68"/>
    <mergeCell ref="D74:U115"/>
    <mergeCell ref="B74:C115"/>
    <mergeCell ref="C66:F66"/>
    <mergeCell ref="G66:H66"/>
    <mergeCell ref="I66:U66"/>
    <mergeCell ref="C67:F67"/>
    <mergeCell ref="G67:H67"/>
    <mergeCell ref="I67:U67"/>
    <mergeCell ref="D48:E48"/>
    <mergeCell ref="F48:K48"/>
    <mergeCell ref="N48:O48"/>
    <mergeCell ref="P48:U48"/>
    <mergeCell ref="D49:E49"/>
    <mergeCell ref="F49:K49"/>
    <mergeCell ref="N49:O49"/>
    <mergeCell ref="P49:U49"/>
    <mergeCell ref="D46:E46"/>
    <mergeCell ref="F46:K46"/>
    <mergeCell ref="N46:O46"/>
    <mergeCell ref="P46:U46"/>
    <mergeCell ref="D47:E47"/>
    <mergeCell ref="F47:K47"/>
    <mergeCell ref="N47:O47"/>
    <mergeCell ref="P47:U47"/>
    <mergeCell ref="P41:U41"/>
    <mergeCell ref="D42:E42"/>
    <mergeCell ref="F42:K42"/>
    <mergeCell ref="N42:O42"/>
    <mergeCell ref="P42:U42"/>
    <mergeCell ref="D43:E43"/>
    <mergeCell ref="F43:K43"/>
    <mergeCell ref="N43:O43"/>
    <mergeCell ref="P43:U43"/>
    <mergeCell ref="T37:U37"/>
    <mergeCell ref="D38:L38"/>
    <mergeCell ref="M38:U38"/>
    <mergeCell ref="D39:L39"/>
    <mergeCell ref="M39:U39"/>
    <mergeCell ref="B41:C49"/>
    <mergeCell ref="D41:E41"/>
    <mergeCell ref="F41:K41"/>
    <mergeCell ref="L41:M49"/>
    <mergeCell ref="N41:O41"/>
    <mergeCell ref="D37:E37"/>
    <mergeCell ref="F37:I37"/>
    <mergeCell ref="J37:L37"/>
    <mergeCell ref="M37:O37"/>
    <mergeCell ref="P37:Q37"/>
    <mergeCell ref="R37:S37"/>
    <mergeCell ref="D44:E44"/>
    <mergeCell ref="F44:K44"/>
    <mergeCell ref="N44:O44"/>
    <mergeCell ref="P44:U44"/>
    <mergeCell ref="D45:E45"/>
    <mergeCell ref="F45:K45"/>
    <mergeCell ref="N45:O45"/>
    <mergeCell ref="P45:U45"/>
    <mergeCell ref="B30:E30"/>
    <mergeCell ref="F30:O30"/>
    <mergeCell ref="P30:Q30"/>
    <mergeCell ref="R30:U30"/>
    <mergeCell ref="B32:Q32"/>
    <mergeCell ref="B34:C39"/>
    <mergeCell ref="D34:E34"/>
    <mergeCell ref="F34:I34"/>
    <mergeCell ref="J34:L34"/>
    <mergeCell ref="M34:O34"/>
    <mergeCell ref="D36:E36"/>
    <mergeCell ref="F36:I36"/>
    <mergeCell ref="J36:L36"/>
    <mergeCell ref="M36:O36"/>
    <mergeCell ref="P36:Q36"/>
    <mergeCell ref="R36:U36"/>
    <mergeCell ref="P34:Q34"/>
    <mergeCell ref="R34:U34"/>
    <mergeCell ref="D35:E35"/>
    <mergeCell ref="F35:I35"/>
    <mergeCell ref="J35:L35"/>
    <mergeCell ref="M35:O35"/>
    <mergeCell ref="P35:Q35"/>
    <mergeCell ref="R35:U35"/>
    <mergeCell ref="B27:E27"/>
    <mergeCell ref="F27:U27"/>
    <mergeCell ref="B28:E28"/>
    <mergeCell ref="F28:U28"/>
    <mergeCell ref="B29:E29"/>
    <mergeCell ref="F29:U29"/>
    <mergeCell ref="R23:U23"/>
    <mergeCell ref="B24:E24"/>
    <mergeCell ref="F24:U24"/>
    <mergeCell ref="B25:E25"/>
    <mergeCell ref="F25:U25"/>
    <mergeCell ref="B26:E26"/>
    <mergeCell ref="F26:U26"/>
    <mergeCell ref="B19:E19"/>
    <mergeCell ref="F19:G19"/>
    <mergeCell ref="B21:L21"/>
    <mergeCell ref="B23:E23"/>
    <mergeCell ref="F23:O23"/>
    <mergeCell ref="P23:Q23"/>
    <mergeCell ref="P2:U10"/>
    <mergeCell ref="B10:F10"/>
    <mergeCell ref="G10:N10"/>
    <mergeCell ref="B11:F11"/>
    <mergeCell ref="G11:N12"/>
    <mergeCell ref="P12:U21"/>
    <mergeCell ref="C16:E16"/>
    <mergeCell ref="H16:I16"/>
    <mergeCell ref="M16:N16"/>
    <mergeCell ref="B13:M13"/>
  </mergeCells>
  <printOptions horizontalCentered="1" verticalCentered="1"/>
  <pageMargins left="0.39370078740157483" right="0.39370078740157483" top="0.59055118110236227" bottom="0.59055118110236227" header="0.31496062992125984" footer="0.31496062992125984"/>
  <pageSetup paperSize="9" scale="76" fitToHeight="2" orientation="portrait" r:id="rId1"/>
  <headerFooter>
    <oddFooter>&amp;C&amp;"Arial Narrow,Normale"&amp;9Modulo ENE-Mod-404-01-20     Revisione 00     Approvato da RQ     Data emissione 01/06/2017&amp;R&amp;"Arial Narrow,Normale"&amp;9&amp;P di &amp;N</oddFooter>
  </headerFooter>
  <rowBreaks count="1" manualBreakCount="1">
    <brk id="64" min="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14</vt:i4>
      </vt:variant>
    </vt:vector>
  </HeadingPairs>
  <TitlesOfParts>
    <vt:vector size="34" baseType="lpstr">
      <vt:lpstr>RAPPORTO ISPEZIONE</vt:lpstr>
      <vt:lpstr>FIRME-CONTROLLO DATI</vt:lpstr>
      <vt:lpstr>DATI INGRESSO</vt:lpstr>
      <vt:lpstr>TABELLE</vt:lpstr>
      <vt:lpstr>ELABORAZIONE ERRORI</vt:lpstr>
      <vt:lpstr>CONTROLLO RISULTATI</vt:lpstr>
      <vt:lpstr>MODELLO DOGANE</vt:lpstr>
      <vt:lpstr>EXPORT DATA RVFC</vt:lpstr>
      <vt:lpstr>MODELLO DOGANE-ESITO NEGATIVO</vt:lpstr>
      <vt:lpstr>VALUT. GLOBALE</vt:lpstr>
      <vt:lpstr>INTERP ERRORI MAX CONTAT</vt:lpstr>
      <vt:lpstr>INTERP ERRORI MAX TA</vt:lpstr>
      <vt:lpstr>INTERP ERRORI MAX TV</vt:lpstr>
      <vt:lpstr>dati_TRASF AMPEROMETRICI</vt:lpstr>
      <vt:lpstr>dati_TRASF VOLTMETRICI</vt:lpstr>
      <vt:lpstr>dati_CONNESSIONI VOLTMETRICHE</vt:lpstr>
      <vt:lpstr>ERRORI MAX CONTATORI</vt:lpstr>
      <vt:lpstr>ERRORI MAX TA</vt:lpstr>
      <vt:lpstr>ERRORI MAX TV</vt:lpstr>
      <vt:lpstr>STORICO MODIFICHE</vt:lpstr>
      <vt:lpstr>'CONTROLLO RISULTATI'!Area_stampa</vt:lpstr>
      <vt:lpstr>'DATI INGRESSO'!Area_stampa</vt:lpstr>
      <vt:lpstr>'ERRORI MAX CONTATORI'!Area_stampa</vt:lpstr>
      <vt:lpstr>'ERRORI MAX TA'!Area_stampa</vt:lpstr>
      <vt:lpstr>'ERRORI MAX TV'!Area_stampa</vt:lpstr>
      <vt:lpstr>'FIRME-CONTROLLO DATI'!Area_stampa</vt:lpstr>
      <vt:lpstr>'INTERP ERRORI MAX CONTAT'!Area_stampa</vt:lpstr>
      <vt:lpstr>'INTERP ERRORI MAX TA'!Area_stampa</vt:lpstr>
      <vt:lpstr>'INTERP ERRORI MAX TV'!Area_stampa</vt:lpstr>
      <vt:lpstr>'MODELLO DOGANE'!Area_stampa</vt:lpstr>
      <vt:lpstr>'MODELLO DOGANE-ESITO NEGATIVO'!Area_stampa</vt:lpstr>
      <vt:lpstr>'RAPPORTO ISPEZIONE'!Area_stampa</vt:lpstr>
      <vt:lpstr>CIAO</vt:lpstr>
      <vt:lpstr>'RAPPORTO ISPEZIONE'!Titoli_stampa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dc:creator>
  <cp:lastModifiedBy>Roberto</cp:lastModifiedBy>
  <cp:lastPrinted>2019-06-04T14:48:31Z</cp:lastPrinted>
  <dcterms:created xsi:type="dcterms:W3CDTF">2015-09-21T09:36:20Z</dcterms:created>
  <dcterms:modified xsi:type="dcterms:W3CDTF">2020-12-28T16:58:53Z</dcterms:modified>
</cp:coreProperties>
</file>